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onre\Documents\"/>
    </mc:Choice>
  </mc:AlternateContent>
  <xr:revisionPtr revIDLastSave="0" documentId="13_ncr:1_{A4BB8E99-667D-44E9-BCA0-74039E0C4F00}" xr6:coauthVersionLast="47" xr6:coauthVersionMax="47" xr10:uidLastSave="{00000000-0000-0000-0000-000000000000}"/>
  <bookViews>
    <workbookView xWindow="-120" yWindow="-120" windowWidth="29040" windowHeight="15720" firstSheet="2" activeTab="3" xr2:uid="{00000000-000D-0000-FFFF-FFFF00000000}"/>
  </bookViews>
  <sheets>
    <sheet name="notes" sheetId="8" r:id="rId1"/>
    <sheet name="draft  nov 24" sheetId="1" r:id="rId2"/>
    <sheet name="draft  2026 27 budget proposal" sheetId="5" r:id="rId3"/>
    <sheet name="working notes 26 27" sheetId="9" r:id="rId4"/>
  </sheets>
  <definedNames>
    <definedName name="_xlnm.Print_Area" localSheetId="1">'draft  nov 24'!$A$1:$I$36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5" i="5" l="1"/>
  <c r="I76" i="5" s="1"/>
  <c r="H75" i="5"/>
  <c r="H76" i="5" s="1"/>
  <c r="D75" i="5"/>
  <c r="D76" i="5" s="1"/>
  <c r="B75" i="5"/>
  <c r="B76" i="5" s="1"/>
  <c r="F51" i="5"/>
  <c r="I47" i="5"/>
  <c r="G47" i="5"/>
  <c r="F47" i="5"/>
  <c r="H46" i="5"/>
  <c r="H47" i="5" s="1"/>
  <c r="D36" i="5"/>
  <c r="C36" i="5"/>
  <c r="B36" i="5"/>
  <c r="F35" i="5"/>
  <c r="G34" i="5"/>
  <c r="H34" i="5" s="1"/>
  <c r="I34" i="5" s="1"/>
  <c r="G33" i="5"/>
  <c r="H33" i="5" s="1"/>
  <c r="I33" i="5" s="1"/>
  <c r="G32" i="5"/>
  <c r="H32" i="5" s="1"/>
  <c r="I32" i="5" s="1"/>
  <c r="E31" i="5"/>
  <c r="G30" i="5"/>
  <c r="E30" i="5"/>
  <c r="E29" i="5"/>
  <c r="E28" i="5"/>
  <c r="E27" i="5"/>
  <c r="F27" i="5" s="1"/>
  <c r="E25" i="5"/>
  <c r="H24" i="5"/>
  <c r="I24" i="5" s="1"/>
  <c r="E24" i="5"/>
  <c r="E23" i="5"/>
  <c r="F23" i="5" s="1"/>
  <c r="G23" i="5" s="1"/>
  <c r="H23" i="5" s="1"/>
  <c r="I23" i="5" s="1"/>
  <c r="E22" i="5"/>
  <c r="F22" i="5" s="1"/>
  <c r="G22" i="5" s="1"/>
  <c r="E21" i="5"/>
  <c r="E20" i="5"/>
  <c r="E19" i="5"/>
  <c r="F19" i="5" s="1"/>
  <c r="G19" i="5" s="1"/>
  <c r="E18" i="5"/>
  <c r="F18" i="5" s="1"/>
  <c r="G18" i="5" s="1"/>
  <c r="H18" i="5" s="1"/>
  <c r="I18" i="5" s="1"/>
  <c r="E17" i="5"/>
  <c r="F17" i="5" s="1"/>
  <c r="G17" i="5" s="1"/>
  <c r="F16" i="5"/>
  <c r="E15" i="5"/>
  <c r="E14" i="5"/>
  <c r="F14" i="5" s="1"/>
  <c r="E13" i="5"/>
  <c r="E36" i="5" s="1"/>
  <c r="E12" i="5"/>
  <c r="F12" i="5" s="1"/>
  <c r="E11" i="5"/>
  <c r="I9" i="5"/>
  <c r="H9" i="5"/>
  <c r="G9" i="5"/>
  <c r="E9" i="5"/>
  <c r="F9" i="5" s="1"/>
  <c r="D9" i="5"/>
  <c r="C9" i="5"/>
  <c r="B9" i="5"/>
  <c r="F8" i="5"/>
  <c r="F7" i="5"/>
  <c r="F6" i="5"/>
  <c r="F5" i="5"/>
  <c r="F4" i="5"/>
  <c r="H95" i="5"/>
  <c r="I95" i="5" s="1"/>
  <c r="H96" i="5"/>
  <c r="I96" i="5" s="1"/>
  <c r="H97" i="5"/>
  <c r="I97" i="5" s="1"/>
  <c r="H101" i="5"/>
  <c r="I101" i="5" s="1"/>
  <c r="H102" i="5"/>
  <c r="I102" i="5" s="1"/>
  <c r="H105" i="5"/>
  <c r="I105" i="5" s="1"/>
  <c r="H106" i="5"/>
  <c r="I106" i="5" s="1"/>
  <c r="H107" i="5"/>
  <c r="I107" i="5" s="1"/>
  <c r="H108" i="5"/>
  <c r="I108" i="5" s="1"/>
  <c r="H109" i="5"/>
  <c r="I109" i="5" s="1"/>
  <c r="H110" i="5"/>
  <c r="I110" i="5" s="1"/>
  <c r="H112" i="5"/>
  <c r="I112" i="5" s="1"/>
  <c r="H116" i="5"/>
  <c r="I116" i="5" s="1"/>
  <c r="H94" i="5"/>
  <c r="I94" i="5" s="1"/>
  <c r="G12" i="5" l="1"/>
  <c r="D78" i="5"/>
  <c r="D77" i="5"/>
  <c r="G76" i="5"/>
  <c r="H77" i="5"/>
  <c r="H79" i="5" s="1"/>
  <c r="I77" i="5"/>
  <c r="I79" i="5" s="1"/>
  <c r="F13" i="5"/>
  <c r="F36" i="5" s="1"/>
  <c r="F38" i="5" s="1"/>
  <c r="F52" i="5" s="1"/>
  <c r="F53" i="5" s="1"/>
  <c r="F57" i="5" l="1"/>
  <c r="F72" i="5" s="1"/>
  <c r="F54" i="5"/>
  <c r="G51" i="5"/>
  <c r="G77" i="5"/>
  <c r="G79" i="5" s="1"/>
  <c r="G75" i="5"/>
  <c r="G36" i="5"/>
  <c r="G38" i="5" s="1"/>
  <c r="G52" i="5" s="1"/>
  <c r="G53" i="5" s="1"/>
  <c r="I36" i="5" l="1"/>
  <c r="I38" i="5" s="1"/>
  <c r="I52" i="5" s="1"/>
  <c r="H36" i="5"/>
  <c r="H38" i="5" s="1"/>
  <c r="H52" i="5" s="1"/>
  <c r="G54" i="5"/>
  <c r="H51" i="5"/>
  <c r="G57" i="5"/>
  <c r="H53" i="5" l="1"/>
  <c r="I51" i="5"/>
  <c r="I53" i="5" s="1"/>
  <c r="H54" i="5"/>
  <c r="H57" i="5"/>
  <c r="G59" i="5"/>
  <c r="G72" i="5" s="1"/>
  <c r="I54" i="5" l="1"/>
  <c r="I57" i="5"/>
  <c r="H59" i="5"/>
  <c r="H72" i="5" s="1"/>
  <c r="I59" i="5" l="1"/>
  <c r="I72" i="5" s="1"/>
  <c r="E90" i="5" l="1"/>
  <c r="F89" i="5"/>
  <c r="D90" i="5"/>
  <c r="F132" i="5" l="1"/>
  <c r="C117" i="5"/>
  <c r="E93" i="5"/>
  <c r="E94" i="5"/>
  <c r="E95" i="5"/>
  <c r="F95" i="5" s="1"/>
  <c r="E96" i="5"/>
  <c r="E98" i="5"/>
  <c r="E99" i="5"/>
  <c r="E100" i="5"/>
  <c r="E101" i="5"/>
  <c r="E102" i="5"/>
  <c r="E103" i="5"/>
  <c r="E104" i="5"/>
  <c r="E105" i="5"/>
  <c r="E106" i="5"/>
  <c r="E108" i="5"/>
  <c r="E109" i="5"/>
  <c r="E110" i="5"/>
  <c r="E111" i="5"/>
  <c r="E112" i="5"/>
  <c r="E92" i="5"/>
  <c r="C90" i="5"/>
  <c r="B117" i="5" l="1"/>
  <c r="B90" i="5" l="1"/>
  <c r="B156" i="5"/>
  <c r="B157" i="5" s="1"/>
  <c r="D117" i="5"/>
  <c r="F99" i="5"/>
  <c r="G128" i="5"/>
  <c r="I128" i="5"/>
  <c r="D156" i="5"/>
  <c r="D157" i="5" s="1"/>
  <c r="G157" i="5" s="1"/>
  <c r="G156" i="5" s="1"/>
  <c r="H127" i="5"/>
  <c r="H128" i="5" s="1"/>
  <c r="F116" i="5"/>
  <c r="F108" i="5"/>
  <c r="F104" i="5"/>
  <c r="F103" i="5"/>
  <c r="F100" i="5"/>
  <c r="F98" i="5"/>
  <c r="F97" i="5"/>
  <c r="F94" i="5"/>
  <c r="F93" i="5"/>
  <c r="F88" i="5"/>
  <c r="F87" i="5"/>
  <c r="F86" i="5"/>
  <c r="F85" i="5"/>
  <c r="H4" i="1"/>
  <c r="G33" i="1"/>
  <c r="H33" i="1"/>
  <c r="F33" i="1"/>
  <c r="G4" i="1"/>
  <c r="F4" i="1"/>
  <c r="H34" i="1"/>
  <c r="G34" i="1"/>
  <c r="F34" i="1"/>
  <c r="F5" i="1"/>
  <c r="C40" i="1"/>
  <c r="E6" i="1"/>
  <c r="D15" i="1"/>
  <c r="E15" i="1" s="1"/>
  <c r="E21" i="1"/>
  <c r="D28" i="1"/>
  <c r="E31" i="1" s="1"/>
  <c r="E42" i="1" s="1"/>
  <c r="C28" i="1"/>
  <c r="E27" i="1"/>
  <c r="F117" i="5" l="1"/>
  <c r="F128" i="5"/>
  <c r="E117" i="5"/>
  <c r="F90" i="5"/>
  <c r="D159" i="5"/>
  <c r="D158" i="5"/>
  <c r="H15" i="1"/>
  <c r="F18" i="1"/>
  <c r="G18" i="1" s="1"/>
  <c r="G28" i="1" s="1"/>
  <c r="F119" i="5" l="1"/>
  <c r="F133" i="5" s="1"/>
  <c r="F134" i="5" s="1"/>
  <c r="H18" i="1"/>
  <c r="E25" i="1"/>
  <c r="E24" i="1"/>
  <c r="E23" i="1"/>
  <c r="E22" i="1"/>
  <c r="E20" i="1"/>
  <c r="E19" i="1"/>
  <c r="E17" i="1"/>
  <c r="E16" i="1"/>
  <c r="E14" i="1"/>
  <c r="E13" i="1"/>
  <c r="E12" i="1"/>
  <c r="E11" i="1"/>
  <c r="E10" i="1"/>
  <c r="E5" i="1"/>
  <c r="E7" i="1"/>
  <c r="E4" i="1"/>
  <c r="E43" i="1" s="1"/>
  <c r="B28" i="1"/>
  <c r="F28" i="1"/>
  <c r="H28" i="1"/>
  <c r="B33" i="1"/>
  <c r="B34" i="1" s="1"/>
  <c r="G132" i="5" l="1"/>
  <c r="F138" i="5"/>
  <c r="F153" i="5" s="1"/>
  <c r="F135" i="5"/>
  <c r="E28" i="1"/>
  <c r="C8" i="1"/>
  <c r="D8" i="1"/>
  <c r="B8" i="1"/>
  <c r="H8" i="1"/>
  <c r="H29" i="1" s="1"/>
  <c r="H41" i="1" s="1"/>
  <c r="E8" i="1" l="1"/>
  <c r="E29" i="1" s="1"/>
  <c r="E45" i="1" l="1"/>
  <c r="E55" i="1" s="1"/>
  <c r="F40" i="1"/>
  <c r="C33" i="1"/>
  <c r="C34" i="1" l="1"/>
  <c r="C36" i="1" s="1"/>
  <c r="C35" i="1" l="1"/>
  <c r="G8" i="1"/>
  <c r="G29" i="1" s="1"/>
  <c r="G41" i="1" s="1"/>
  <c r="F8" i="1" l="1"/>
  <c r="F29" i="1" s="1"/>
  <c r="F35" i="1" l="1"/>
  <c r="F41" i="1"/>
  <c r="F42" i="1" s="1"/>
  <c r="F43" i="1" s="1"/>
  <c r="F36" i="1"/>
  <c r="G36" i="1" l="1"/>
  <c r="F45" i="1"/>
  <c r="F55" i="1" s="1"/>
  <c r="G40" i="1"/>
  <c r="G42" i="1" s="1"/>
  <c r="G43" i="1" s="1"/>
  <c r="G35" i="1"/>
  <c r="H35" i="1" l="1"/>
  <c r="H36" i="1"/>
  <c r="H40" i="1"/>
  <c r="H42" i="1" s="1"/>
  <c r="G45" i="1"/>
  <c r="G55" i="1" s="1"/>
  <c r="H45" i="1" l="1"/>
  <c r="H55" i="1" s="1"/>
  <c r="H43" i="1"/>
  <c r="G103" i="5"/>
  <c r="H103" i="5" s="1"/>
  <c r="I103" i="5" s="1"/>
  <c r="G111" i="5"/>
  <c r="H111" i="5" s="1"/>
  <c r="I111" i="5" s="1"/>
  <c r="G99" i="5"/>
  <c r="H99" i="5" s="1"/>
  <c r="I99" i="5" s="1"/>
  <c r="G93" i="5"/>
  <c r="H93" i="5" s="1"/>
  <c r="I93" i="5" s="1"/>
  <c r="G113" i="5"/>
  <c r="H113" i="5" s="1"/>
  <c r="I113" i="5" s="1"/>
  <c r="G98" i="5"/>
  <c r="H98" i="5" s="1"/>
  <c r="I98" i="5" s="1"/>
  <c r="G114" i="5"/>
  <c r="H114" i="5" s="1"/>
  <c r="I114" i="5" s="1"/>
  <c r="G100" i="5"/>
  <c r="H100" i="5" s="1"/>
  <c r="I100" i="5" s="1"/>
  <c r="G104" i="5"/>
  <c r="H104" i="5" s="1"/>
  <c r="I104" i="5" s="1"/>
  <c r="G115" i="5"/>
  <c r="H115" i="5" s="1"/>
  <c r="I115" i="5" s="1"/>
  <c r="H90" i="5"/>
  <c r="H156" i="5" l="1"/>
  <c r="H157" i="5" s="1"/>
  <c r="I90" i="5"/>
  <c r="I117" i="5"/>
  <c r="H117" i="5"/>
  <c r="G117" i="5"/>
  <c r="G90" i="5"/>
  <c r="G158" i="5" l="1"/>
  <c r="G160" i="5" s="1"/>
  <c r="G119" i="5"/>
  <c r="G133" i="5" s="1"/>
  <c r="G134" i="5" s="1"/>
  <c r="I119" i="5"/>
  <c r="I133" i="5" s="1"/>
  <c r="I156" i="5"/>
  <c r="I157" i="5" s="1"/>
  <c r="I158" i="5" s="1"/>
  <c r="I160" i="5" s="1"/>
  <c r="H158" i="5"/>
  <c r="H160" i="5" s="1"/>
  <c r="H119" i="5"/>
  <c r="H133" i="5" s="1"/>
  <c r="H132" i="5" l="1"/>
  <c r="H134" i="5" s="1"/>
  <c r="G135" i="5"/>
  <c r="G138" i="5"/>
  <c r="I132" i="5" l="1"/>
  <c r="I134" i="5" s="1"/>
  <c r="H135" i="5"/>
  <c r="H138" i="5"/>
  <c r="G140" i="5"/>
  <c r="G153" i="5" s="1"/>
  <c r="H140" i="5" l="1"/>
  <c r="H153" i="5" s="1"/>
  <c r="I135" i="5"/>
  <c r="I138" i="5"/>
  <c r="I140" i="5" l="1"/>
  <c r="I15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 Reardon-Smith</author>
  </authors>
  <commentList>
    <comment ref="A6" authorId="0" shapeId="0" xr:uid="{32F91225-AC44-46BC-8459-C99E5A0FFA40}">
      <text>
        <r>
          <rPr>
            <b/>
            <sz val="9"/>
            <color indexed="81"/>
            <rFont val="Tahoma"/>
            <family val="2"/>
          </rPr>
          <t>jon Reardon-Smith:</t>
        </r>
        <r>
          <rPr>
            <sz val="9"/>
            <color indexed="81"/>
            <rFont val="Tahoma"/>
            <family val="2"/>
          </rPr>
          <t xml:space="preserve">
added is in budget line missing</t>
        </r>
      </text>
    </comment>
    <comment ref="G15" authorId="0" shapeId="0" xr:uid="{3FE35BA7-3E98-4A61-8D4F-B7470709FD63}">
      <text>
        <r>
          <rPr>
            <b/>
            <sz val="9"/>
            <color indexed="81"/>
            <rFont val="Tahoma"/>
            <family val="2"/>
          </rPr>
          <t>jon Reardon-Smith:</t>
        </r>
        <r>
          <rPr>
            <sz val="9"/>
            <color indexed="81"/>
            <rFont val="Tahoma"/>
            <family val="2"/>
          </rPr>
          <t xml:space="preserve">
should reduce to £150-200 as we retrofit Led lights</t>
        </r>
      </text>
    </comment>
    <comment ref="E18" authorId="0" shapeId="0" xr:uid="{225D3F1A-2D3C-43F1-86EF-4225977139F1}">
      <text>
        <r>
          <rPr>
            <b/>
            <sz val="9"/>
            <color indexed="81"/>
            <rFont val="Tahoma"/>
            <family val="2"/>
          </rPr>
          <t>jon Reardon-Smith:</t>
        </r>
        <r>
          <rPr>
            <sz val="9"/>
            <color indexed="81"/>
            <rFont val="Tahoma"/>
            <family val="2"/>
          </rPr>
          <t xml:space="preserve">
Should be no more than the budget</t>
        </r>
      </text>
    </comment>
    <comment ref="A21" authorId="0" shapeId="0" xr:uid="{08A365B1-14BB-49BE-B2DC-4800A5A31201}">
      <text>
        <r>
          <rPr>
            <b/>
            <sz val="9"/>
            <color indexed="81"/>
            <rFont val="Tahoma"/>
            <family val="2"/>
          </rPr>
          <t>jon Reardon-Smith:</t>
        </r>
        <r>
          <rPr>
            <sz val="9"/>
            <color indexed="81"/>
            <rFont val="Tahoma"/>
            <family val="2"/>
          </rPr>
          <t xml:space="preserve">
added missing from actual although offset by Cil it is still an actual spend</t>
        </r>
      </text>
    </comment>
    <comment ref="C25" authorId="0" shapeId="0" xr:uid="{FF21DD00-ED75-4792-AD7F-44BB6EC67877}">
      <text>
        <r>
          <rPr>
            <b/>
            <sz val="9"/>
            <color indexed="81"/>
            <rFont val="Tahoma"/>
            <family val="2"/>
          </rPr>
          <t>jon Reardon-Smith:</t>
        </r>
        <r>
          <rPr>
            <sz val="9"/>
            <color indexed="81"/>
            <rFont val="Tahoma"/>
            <family val="2"/>
          </rPr>
          <t xml:space="preserve">
removed this is a movement of funds</t>
        </r>
      </text>
    </comment>
    <comment ref="F25" authorId="0" shapeId="0" xr:uid="{2E9887CF-3D05-4FCE-9496-B5B3784A3DEB}">
      <text>
        <r>
          <rPr>
            <b/>
            <sz val="9"/>
            <color indexed="81"/>
            <rFont val="Tahoma"/>
            <family val="2"/>
          </rPr>
          <t>jon Reardon-Smith:</t>
        </r>
        <r>
          <rPr>
            <sz val="9"/>
            <color indexed="81"/>
            <rFont val="Tahoma"/>
            <family val="2"/>
          </rPr>
          <t xml:space="preserve">
I don’t see why we need to add to reserves as we are carrying £16285 of general reserves that may need some allocation</t>
        </r>
      </text>
    </comment>
    <comment ref="C28" authorId="0" shapeId="0" xr:uid="{84E3E9A9-580C-4358-8677-65C6FF71C426}">
      <text>
        <r>
          <rPr>
            <b/>
            <sz val="9"/>
            <color indexed="81"/>
            <rFont val="Tahoma"/>
            <family val="2"/>
          </rPr>
          <t>jon Reardon-Smith:</t>
        </r>
        <r>
          <rPr>
            <sz val="9"/>
            <color indexed="81"/>
            <rFont val="Tahoma"/>
            <family val="2"/>
          </rPr>
          <t xml:space="preserve">
agrees with official actual account recon presented at last meeting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tc={7EEF39EE-13D5-4C74-B725-DCCCFFD2AFA2}</author>
    <author>tc={B6590D20-17F6-4ADB-A7A9-691433A11DFB}</author>
  </authors>
  <commentList>
    <comment ref="I38" authorId="0" shapeId="0" xr:uid="{7EEF39EE-13D5-4C74-B725-DCCCFFD2AFA2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 you increase earlier years slightly to ensure the increase for this year isn’t unreasonably high??</t>
      </text>
    </comment>
    <comment ref="I119" authorId="1" shapeId="0" xr:uid="{B6590D20-17F6-4ADB-A7A9-691433A11DFB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 you increase earlier years slightly to ensure the increase for this year isn’t unreasonably high??</t>
      </text>
    </comment>
  </commentList>
</comments>
</file>

<file path=xl/sharedStrings.xml><?xml version="1.0" encoding="utf-8"?>
<sst xmlns="http://schemas.openxmlformats.org/spreadsheetml/2006/main" count="338" uniqueCount="175">
  <si>
    <t>Draft was presented in Nov Parish Council meeting in draft tab</t>
  </si>
  <si>
    <t xml:space="preserve"> Councillors asked for a number of changes </t>
  </si>
  <si>
    <t>2 versions of budget 1 with street light upgrade in 2024/5 1 with spend in 2025/5</t>
  </si>
  <si>
    <t>Training increased to 500 in 2025/6 to reflect new councillors then reduced back</t>
  </si>
  <si>
    <t>Precept increase to be 2.2% across all years</t>
  </si>
  <si>
    <t>increase ear marked reserve for highways to balance back to £1500</t>
  </si>
  <si>
    <t>correct grants spend to 770</t>
  </si>
  <si>
    <t>remove  parish plan earmarked reserve in 2026/7</t>
  </si>
  <si>
    <t>Version with streetlight spend in 2024 is  tab 24 st lht rec to audit accs</t>
  </si>
  <si>
    <t>Version with streetlight spend in 2025/6 is tab  25 st lht rec to audit acc</t>
  </si>
  <si>
    <t>Other changes</t>
  </si>
  <si>
    <t>both budgets are reconciled to end year 23/24 final accounts values and funds</t>
  </si>
  <si>
    <t>any expense line funded from reserves is in red with comment</t>
  </si>
  <si>
    <t>lines 48-52 reconciles reserve funds spent on projects</t>
  </si>
  <si>
    <t>reserves area split into general reserve ( calculation) and Ear Marked Reserves</t>
  </si>
  <si>
    <t>reserves area shows movement in reserves aligned with spend on projects</t>
  </si>
  <si>
    <t>line 25 added showing spend on maintenance due to SC grant ( note it has been shown as income but not spent previously)</t>
  </si>
  <si>
    <t xml:space="preserve">tabs clean baseline, 2024 5 streetlights and 2025 6 streetlights are to be ignored as working docs only and DO NOT reconcile to audited accounts </t>
  </si>
  <si>
    <t>bank charges added 8.50 per month £102 for year, then 4.50 per month y2 then 5 month y3</t>
  </si>
  <si>
    <t>3 new batteries 25/26 1 set pads, 1 new battery 26/27 plus 1 set pads 1new 27/28 plus 1 set pads</t>
  </si>
  <si>
    <t>bank costs added in 2024/5 spend as charge comes in in January 2025</t>
  </si>
  <si>
    <t>06 1 2025 budget with street light expenses in 2025 deleted as spent in 2024</t>
  </si>
  <si>
    <t>defib maintenance costs reduced as new batteries purchased in 2024/5</t>
  </si>
  <si>
    <t>National</t>
  </si>
  <si>
    <t>2023-24</t>
  </si>
  <si>
    <t>2024-25</t>
  </si>
  <si>
    <t>2024/5 est total</t>
  </si>
  <si>
    <t>2025-26</t>
  </si>
  <si>
    <t>2026-27</t>
  </si>
  <si>
    <t>2027-28</t>
  </si>
  <si>
    <t>Actual</t>
  </si>
  <si>
    <t>Estimates</t>
  </si>
  <si>
    <t>Comments</t>
  </si>
  <si>
    <t>General Income</t>
  </si>
  <si>
    <t xml:space="preserve"> </t>
  </si>
  <si>
    <t>Precept</t>
  </si>
  <si>
    <t>VAT refund</t>
  </si>
  <si>
    <t>Highways grant</t>
  </si>
  <si>
    <t>Interest</t>
  </si>
  <si>
    <t>Assuming a general inflation rate of 2.2% rounded up</t>
  </si>
  <si>
    <t>Clerk salary and PAYE</t>
  </si>
  <si>
    <t>2024-25 includes underpaid tax from 2023-24</t>
  </si>
  <si>
    <t>Travel</t>
  </si>
  <si>
    <t>Village Hall Hire</t>
  </si>
  <si>
    <t>General Administration</t>
  </si>
  <si>
    <t>including wreath</t>
  </si>
  <si>
    <t>Insurance</t>
  </si>
  <si>
    <t>Street Lighting - Electricity</t>
  </si>
  <si>
    <t>should be less with new bulbs</t>
  </si>
  <si>
    <t>Street Lighting - Repairs</t>
  </si>
  <si>
    <t>maint should be very low after retrofit</t>
  </si>
  <si>
    <t>Audit</t>
  </si>
  <si>
    <t>Grants</t>
  </si>
  <si>
    <t>Subscriptions</t>
  </si>
  <si>
    <t>SALC</t>
  </si>
  <si>
    <t>Training</t>
  </si>
  <si>
    <t>New Councillors will need training.</t>
  </si>
  <si>
    <t>NOTICE BOARDS</t>
  </si>
  <si>
    <t>Enviro Maintenance (Contribution)</t>
  </si>
  <si>
    <t>not Assuming a full grant from SC to match.</t>
  </si>
  <si>
    <t>Website</t>
  </si>
  <si>
    <t>Assuming remain with Rocking Horse Media</t>
  </si>
  <si>
    <t>Defibrillators Maintenance</t>
  </si>
  <si>
    <t>Two batteries and 1 pad per annum</t>
  </si>
  <si>
    <t>Reserves (contribution)</t>
  </si>
  <si>
    <t>Election charge of approx £1600 will be in 2026-27.</t>
  </si>
  <si>
    <t>Electio expenses</t>
  </si>
  <si>
    <t>funded from reserves</t>
  </si>
  <si>
    <t>2024 vat paid</t>
  </si>
  <si>
    <t>Under over spend</t>
  </si>
  <si>
    <t>Current Account</t>
  </si>
  <si>
    <t>Savings Account</t>
  </si>
  <si>
    <t>Actual Precept</t>
  </si>
  <si>
    <t>Proposed Precept</t>
  </si>
  <si>
    <t>Band D Council Tax Payment</t>
  </si>
  <si>
    <t>£ increase on Prev year</t>
  </si>
  <si>
    <t>% increase on Prev year</t>
  </si>
  <si>
    <t>Excess Income over Expenditure</t>
  </si>
  <si>
    <t>as of sept 2024</t>
  </si>
  <si>
    <t>Opening Balance</t>
  </si>
  <si>
    <t>Excess for year</t>
  </si>
  <si>
    <t>Closing Balance</t>
  </si>
  <si>
    <t>reserves as a % of precept</t>
  </si>
  <si>
    <t>Ear-Marked Reserves:</t>
  </si>
  <si>
    <t>Budget 2024/5</t>
  </si>
  <si>
    <t>proposed allocation of reserves 2024/25</t>
  </si>
  <si>
    <t>proposed reserves 2025/26</t>
  </si>
  <si>
    <t>proposed reserves 2026/27</t>
  </si>
  <si>
    <t>proposed reserves 2027/23</t>
  </si>
  <si>
    <t>General Reserve</t>
  </si>
  <si>
    <t>Election Expenses</t>
  </si>
  <si>
    <t>reflects build dup to 26/7 then cost spent then build up restarting 27/28</t>
  </si>
  <si>
    <t>Street Lighting</t>
  </si>
  <si>
    <t>reflects upgrade to LED lighting 24/5 and electricity and maint reduction 25/6 onwards</t>
  </si>
  <si>
    <t>Village Hall Support</t>
  </si>
  <si>
    <t>Parish Plan</t>
  </si>
  <si>
    <t>Community Benefit</t>
  </si>
  <si>
    <t>Transparency</t>
  </si>
  <si>
    <t>Highway Maintenance</t>
  </si>
  <si>
    <t>Volunteers Grant</t>
  </si>
  <si>
    <t>CiL</t>
  </si>
  <si>
    <t>cil spent in 2024/5 on 2 notice boards</t>
  </si>
  <si>
    <t>TOTAL</t>
  </si>
  <si>
    <t>Bitterley Parish Council Budget 2025-26</t>
  </si>
  <si>
    <t xml:space="preserve">2025-26 </t>
  </si>
  <si>
    <t>2025/6 est total</t>
  </si>
  <si>
    <t>2028-29</t>
  </si>
  <si>
    <t>Budget</t>
  </si>
  <si>
    <t>to spend 2025/6</t>
  </si>
  <si>
    <t>expected 2025/6 total</t>
  </si>
  <si>
    <t>Proposed Budget 2026/7</t>
  </si>
  <si>
    <t xml:space="preserve">Totals </t>
  </si>
  <si>
    <t>Expenses for budget year</t>
  </si>
  <si>
    <t>Assuming 2.5% inflation in 2026</t>
  </si>
  <si>
    <t>Street lighting upgrade</t>
  </si>
  <si>
    <t>Notice board installation</t>
  </si>
  <si>
    <t>part funded from CIL balance (263.77)</t>
  </si>
  <si>
    <t>Enviro Maintenance (BPC Contribution)</t>
  </si>
  <si>
    <t>Enviro Maintenance SC funded by grant</t>
  </si>
  <si>
    <t>SC contribution</t>
  </si>
  <si>
    <t>Website and emails</t>
  </si>
  <si>
    <t>3 batteries y1 and 1 pad per annum see note 5 for detail</t>
  </si>
  <si>
    <t>election reseve moved to fund expenses expected</t>
  </si>
  <si>
    <t>Election expenses</t>
  </si>
  <si>
    <t xml:space="preserve">Election charge of approx £250 will be in Jan 2026. </t>
  </si>
  <si>
    <t>Bank Charges</t>
  </si>
  <si>
    <t>vat paid</t>
  </si>
  <si>
    <t>assumes expense lines are excl vat</t>
  </si>
  <si>
    <t xml:space="preserve">funding from Ear Marked Reserves </t>
  </si>
  <si>
    <t>CIL</t>
  </si>
  <si>
    <t>notice board funding to spend on installation</t>
  </si>
  <si>
    <t>Streetlight repairs</t>
  </si>
  <si>
    <t>Election reserve</t>
  </si>
  <si>
    <t>Council election funding</t>
  </si>
  <si>
    <t>total</t>
  </si>
  <si>
    <t>Excess funds calculation</t>
  </si>
  <si>
    <t>Total reserves as a % of precept</t>
  </si>
  <si>
    <t xml:space="preserve">Reserves  </t>
  </si>
  <si>
    <t>proposed reserves 2027/28</t>
  </si>
  <si>
    <t>proposed reserves 2028/29</t>
  </si>
  <si>
    <t>General reserve as a % of precept</t>
  </si>
  <si>
    <t>Ear Marked Resaves</t>
  </si>
  <si>
    <t>reflects build up to 26/7 then cost spent then build up restarting 27/28</t>
  </si>
  <si>
    <t>in 25/26 we said we would keep this and then release it if not spent</t>
  </si>
  <si>
    <t>increased to reflect £1500 less SC contribution and BPC expense</t>
  </si>
  <si>
    <t>Precept Calc</t>
  </si>
  <si>
    <t>check</t>
  </si>
  <si>
    <t>ok</t>
  </si>
  <si>
    <t>spend in 2025/6 assumes election reserve will be used to pay election expenses in 2025/6</t>
  </si>
  <si>
    <t>Nov proposal takes int account no grants paid- needs to be agreed</t>
  </si>
  <si>
    <t>Reserves are calculated using run out figures expected in Nov 2025 for March 2026 and bank account values as of Oct 2025</t>
  </si>
  <si>
    <t>Will need updating in Dec and Jan</t>
  </si>
  <si>
    <t>Replacement batteries and pads required in yr 28/29</t>
  </si>
  <si>
    <t>From 2026-27 calculated using 356.24 as council tax base (accurate)</t>
  </si>
  <si>
    <t>Other</t>
  </si>
  <si>
    <t>Actual 9/1/26</t>
  </si>
  <si>
    <t>£11 from last year charged in this financial year (MP meeting)</t>
  </si>
  <si>
    <t>Assuming  £13.90 x 5.5 hrs x 52.14 weeks</t>
  </si>
  <si>
    <t>£111.63 is the annual charge for streetlight electricity</t>
  </si>
  <si>
    <t>notes vers 3</t>
  </si>
  <si>
    <t>Precept back calculated in line with not increasing band D tax</t>
  </si>
  <si>
    <t>Added £50 income from interest</t>
  </si>
  <si>
    <t>including wreath set at run rate</t>
  </si>
  <si>
    <t>2025/6 updated to expected run out</t>
  </si>
  <si>
    <t>using totals rom 9 1 2026 cash book</t>
  </si>
  <si>
    <t>notes v4</t>
  </si>
  <si>
    <t>notes v5</t>
  </si>
  <si>
    <t>rounded to nearest 10</t>
  </si>
  <si>
    <t>rounded to nearet £10</t>
  </si>
  <si>
    <t>working doc  with formula</t>
  </si>
  <si>
    <t>notes v6</t>
  </si>
  <si>
    <t xml:space="preserve">working doc added with formula </t>
  </si>
  <si>
    <t>corrected v3 as it did not have 9 1 2026 account balances in it</t>
  </si>
  <si>
    <t>budget doc is working doc rounded</t>
  </si>
  <si>
    <t>formula corrected to look at row  78 cells G H I and apply it to the percept in the previous year and to costs not look at just cell G78 for 2 and 3 year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</si>
</sst>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[Red]\-#,##0.00\ "/>
    <numFmt numFmtId="165" formatCode="0.0%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7030A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44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left" vertical="center"/>
    </xf>
    <xf numFmtId="10" fontId="2" fillId="0" borderId="0" xfId="0" applyNumberFormat="1" applyFont="1"/>
    <xf numFmtId="10" fontId="3" fillId="0" borderId="0" xfId="0" applyNumberFormat="1" applyFont="1"/>
    <xf numFmtId="0" fontId="3" fillId="0" borderId="0" xfId="0" applyFont="1" applyAlignment="1">
      <alignment horizontal="right" vertical="center"/>
    </xf>
    <xf numFmtId="2" fontId="1" fillId="0" borderId="3" xfId="0" applyNumberFormat="1" applyFont="1" applyBorder="1" applyAlignment="1">
      <alignment vertical="center"/>
    </xf>
    <xf numFmtId="4" fontId="0" fillId="0" borderId="0" xfId="0" applyNumberFormat="1"/>
    <xf numFmtId="4" fontId="3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1" fillId="0" borderId="3" xfId="0" applyNumberFormat="1" applyFont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4" fontId="6" fillId="0" borderId="0" xfId="0" applyNumberFormat="1" applyFont="1" applyAlignment="1">
      <alignment vertical="center"/>
    </xf>
    <xf numFmtId="0" fontId="9" fillId="0" borderId="0" xfId="0" applyFont="1"/>
    <xf numFmtId="2" fontId="3" fillId="2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0" fontId="0" fillId="3" borderId="0" xfId="0" applyFill="1" applyAlignment="1">
      <alignment vertical="center"/>
    </xf>
    <xf numFmtId="0" fontId="1" fillId="0" borderId="0" xfId="0" applyFont="1"/>
    <xf numFmtId="0" fontId="3" fillId="0" borderId="0" xfId="0" applyFont="1"/>
    <xf numFmtId="43" fontId="9" fillId="0" borderId="0" xfId="1" applyFont="1"/>
    <xf numFmtId="1" fontId="11" fillId="0" borderId="0" xfId="0" applyNumberFormat="1" applyFont="1"/>
    <xf numFmtId="1" fontId="0" fillId="0" borderId="0" xfId="0" applyNumberFormat="1"/>
    <xf numFmtId="17" fontId="0" fillId="0" borderId="0" xfId="0" applyNumberFormat="1" applyAlignment="1">
      <alignment vertical="center"/>
    </xf>
    <xf numFmtId="1" fontId="11" fillId="0" borderId="4" xfId="0" applyNumberFormat="1" applyFont="1" applyBorder="1"/>
    <xf numFmtId="1" fontId="11" fillId="0" borderId="6" xfId="0" applyNumberFormat="1" applyFont="1" applyBorder="1"/>
    <xf numFmtId="1" fontId="1" fillId="0" borderId="0" xfId="0" applyNumberFormat="1" applyFont="1"/>
    <xf numFmtId="1" fontId="0" fillId="0" borderId="8" xfId="0" applyNumberFormat="1" applyBorder="1"/>
    <xf numFmtId="1" fontId="1" fillId="0" borderId="5" xfId="0" applyNumberFormat="1" applyFont="1" applyBorder="1"/>
    <xf numFmtId="0" fontId="1" fillId="0" borderId="0" xfId="0" applyFont="1" applyAlignment="1">
      <alignment wrapText="1"/>
    </xf>
    <xf numFmtId="1" fontId="11" fillId="0" borderId="0" xfId="0" applyNumberFormat="1" applyFont="1" applyAlignment="1">
      <alignment wrapText="1"/>
    </xf>
    <xf numFmtId="1" fontId="11" fillId="0" borderId="7" xfId="0" applyNumberFormat="1" applyFont="1" applyBorder="1" applyAlignment="1">
      <alignment wrapText="1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vertical="center"/>
    </xf>
    <xf numFmtId="165" fontId="11" fillId="0" borderId="0" xfId="0" applyNumberFormat="1" applyFont="1"/>
    <xf numFmtId="43" fontId="9" fillId="0" borderId="0" xfId="1" applyFont="1" applyFill="1"/>
    <xf numFmtId="0" fontId="12" fillId="0" borderId="9" xfId="0" applyFont="1" applyBorder="1"/>
    <xf numFmtId="0" fontId="0" fillId="0" borderId="10" xfId="0" applyBorder="1"/>
    <xf numFmtId="0" fontId="0" fillId="0" borderId="10" xfId="0" applyBorder="1" applyAlignment="1">
      <alignment vertical="center"/>
    </xf>
    <xf numFmtId="2" fontId="0" fillId="0" borderId="10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0" fontId="12" fillId="0" borderId="12" xfId="0" applyFont="1" applyBorder="1"/>
    <xf numFmtId="0" fontId="0" fillId="0" borderId="13" xfId="0" applyBorder="1" applyAlignment="1">
      <alignment vertical="center"/>
    </xf>
    <xf numFmtId="43" fontId="0" fillId="0" borderId="0" xfId="0" applyNumberFormat="1" applyAlignment="1">
      <alignment vertical="center"/>
    </xf>
    <xf numFmtId="1" fontId="11" fillId="0" borderId="16" xfId="0" applyNumberFormat="1" applyFont="1" applyBorder="1" applyAlignment="1">
      <alignment wrapText="1"/>
    </xf>
    <xf numFmtId="0" fontId="0" fillId="0" borderId="17" xfId="0" applyBorder="1"/>
    <xf numFmtId="1" fontId="11" fillId="0" borderId="18" xfId="0" applyNumberFormat="1" applyFont="1" applyBorder="1"/>
    <xf numFmtId="1" fontId="0" fillId="0" borderId="15" xfId="0" applyNumberFormat="1" applyBorder="1"/>
    <xf numFmtId="1" fontId="0" fillId="0" borderId="18" xfId="0" applyNumberFormat="1" applyBorder="1"/>
    <xf numFmtId="1" fontId="11" fillId="0" borderId="19" xfId="0" applyNumberFormat="1" applyFont="1" applyBorder="1"/>
    <xf numFmtId="1" fontId="11" fillId="0" borderId="14" xfId="0" applyNumberFormat="1" applyFont="1" applyBorder="1"/>
    <xf numFmtId="1" fontId="0" fillId="0" borderId="14" xfId="0" applyNumberFormat="1" applyBorder="1"/>
    <xf numFmtId="0" fontId="0" fillId="0" borderId="26" xfId="0" applyBorder="1"/>
    <xf numFmtId="1" fontId="11" fillId="0" borderId="27" xfId="0" applyNumberFormat="1" applyFont="1" applyBorder="1"/>
    <xf numFmtId="1" fontId="0" fillId="0" borderId="27" xfId="0" applyNumberFormat="1" applyBorder="1"/>
    <xf numFmtId="1" fontId="11" fillId="0" borderId="28" xfId="0" applyNumberFormat="1" applyFont="1" applyBorder="1"/>
    <xf numFmtId="0" fontId="0" fillId="0" borderId="29" xfId="0" applyBorder="1"/>
    <xf numFmtId="1" fontId="11" fillId="0" borderId="30" xfId="0" applyNumberFormat="1" applyFont="1" applyBorder="1"/>
    <xf numFmtId="0" fontId="3" fillId="0" borderId="29" xfId="0" applyFont="1" applyBorder="1"/>
    <xf numFmtId="0" fontId="3" fillId="0" borderId="31" xfId="0" applyFont="1" applyBorder="1"/>
    <xf numFmtId="1" fontId="11" fillId="0" borderId="32" xfId="0" applyNumberFormat="1" applyFont="1" applyBorder="1"/>
    <xf numFmtId="1" fontId="0" fillId="0" borderId="32" xfId="0" applyNumberFormat="1" applyBorder="1"/>
    <xf numFmtId="1" fontId="11" fillId="0" borderId="33" xfId="0" applyNumberFormat="1" applyFont="1" applyBorder="1"/>
    <xf numFmtId="0" fontId="1" fillId="0" borderId="34" xfId="0" applyFont="1" applyBorder="1"/>
    <xf numFmtId="1" fontId="11" fillId="0" borderId="35" xfId="0" applyNumberFormat="1" applyFont="1" applyBorder="1"/>
    <xf numFmtId="1" fontId="1" fillId="0" borderId="35" xfId="0" applyNumberFormat="1" applyFont="1" applyBorder="1"/>
    <xf numFmtId="4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0" fillId="0" borderId="17" xfId="0" applyBorder="1" applyAlignment="1">
      <alignment vertical="center"/>
    </xf>
    <xf numFmtId="4" fontId="1" fillId="0" borderId="18" xfId="0" applyNumberFormat="1" applyFont="1" applyBorder="1" applyAlignment="1">
      <alignment vertical="center"/>
    </xf>
    <xf numFmtId="4" fontId="5" fillId="0" borderId="18" xfId="0" applyNumberFormat="1" applyFont="1" applyBorder="1" applyAlignment="1">
      <alignment vertical="center"/>
    </xf>
    <xf numFmtId="0" fontId="13" fillId="0" borderId="0" xfId="0" applyFont="1"/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vertical="center" wrapText="1"/>
    </xf>
    <xf numFmtId="0" fontId="0" fillId="0" borderId="12" xfId="0" applyBorder="1" applyAlignment="1">
      <alignment vertical="center"/>
    </xf>
    <xf numFmtId="4" fontId="3" fillId="0" borderId="0" xfId="0" applyNumberFormat="1" applyFont="1"/>
    <xf numFmtId="3" fontId="14" fillId="0" borderId="18" xfId="0" applyNumberFormat="1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2" xfId="0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0" fillId="0" borderId="37" xfId="0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0" fontId="1" fillId="0" borderId="12" xfId="0" applyFont="1" applyBorder="1" applyAlignment="1">
      <alignment vertical="center"/>
    </xf>
    <xf numFmtId="0" fontId="9" fillId="0" borderId="17" xfId="0" applyFont="1" applyBorder="1"/>
    <xf numFmtId="0" fontId="0" fillId="0" borderId="18" xfId="0" applyBorder="1"/>
    <xf numFmtId="0" fontId="0" fillId="0" borderId="18" xfId="0" applyBorder="1" applyAlignment="1">
      <alignment vertical="center"/>
    </xf>
    <xf numFmtId="2" fontId="0" fillId="0" borderId="18" xfId="0" applyNumberFormat="1" applyBorder="1" applyAlignment="1">
      <alignment vertical="center"/>
    </xf>
    <xf numFmtId="0" fontId="1" fillId="0" borderId="20" xfId="0" applyFont="1" applyBorder="1" applyAlignment="1">
      <alignment wrapText="1"/>
    </xf>
    <xf numFmtId="1" fontId="11" fillId="0" borderId="21" xfId="0" applyNumberFormat="1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1" fontId="0" fillId="0" borderId="4" xfId="0" applyNumberFormat="1" applyBorder="1"/>
    <xf numFmtId="0" fontId="0" fillId="0" borderId="23" xfId="0" applyBorder="1" applyAlignment="1">
      <alignment vertical="center"/>
    </xf>
    <xf numFmtId="0" fontId="0" fillId="0" borderId="4" xfId="0" applyBorder="1" applyAlignment="1">
      <alignment vertical="center"/>
    </xf>
    <xf numFmtId="0" fontId="1" fillId="0" borderId="23" xfId="0" applyFont="1" applyBorder="1"/>
    <xf numFmtId="1" fontId="1" fillId="0" borderId="39" xfId="0" applyNumberFormat="1" applyFont="1" applyBorder="1"/>
    <xf numFmtId="1" fontId="15" fillId="0" borderId="35" xfId="0" applyNumberFormat="1" applyFont="1" applyBorder="1"/>
    <xf numFmtId="164" fontId="5" fillId="0" borderId="0" xfId="0" applyNumberFormat="1" applyFont="1" applyAlignment="1">
      <alignment vertical="center"/>
    </xf>
    <xf numFmtId="1" fontId="15" fillId="0" borderId="36" xfId="0" applyNumberFormat="1" applyFont="1" applyBorder="1"/>
    <xf numFmtId="165" fontId="0" fillId="0" borderId="0" xfId="0" applyNumberFormat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0" fillId="0" borderId="21" xfId="0" applyBorder="1"/>
    <xf numFmtId="0" fontId="0" fillId="0" borderId="21" xfId="0" applyBorder="1" applyAlignment="1">
      <alignment vertical="center"/>
    </xf>
    <xf numFmtId="0" fontId="0" fillId="0" borderId="23" xfId="0" applyBorder="1" applyAlignment="1">
      <alignment horizontal="right" vertical="center"/>
    </xf>
    <xf numFmtId="2" fontId="2" fillId="0" borderId="4" xfId="0" applyNumberFormat="1" applyFont="1" applyBorder="1" applyAlignment="1">
      <alignment horizontal="left" vertical="center"/>
    </xf>
    <xf numFmtId="0" fontId="3" fillId="0" borderId="23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/>
    <xf numFmtId="0" fontId="0" fillId="0" borderId="25" xfId="0" applyBorder="1" applyAlignment="1">
      <alignment vertical="center"/>
    </xf>
    <xf numFmtId="0" fontId="0" fillId="0" borderId="39" xfId="0" applyBorder="1" applyAlignment="1">
      <alignment vertical="center"/>
    </xf>
    <xf numFmtId="0" fontId="3" fillId="0" borderId="0" xfId="0" applyFont="1" applyAlignment="1">
      <alignment vertical="center"/>
    </xf>
    <xf numFmtId="4" fontId="14" fillId="0" borderId="18" xfId="0" applyNumberFormat="1" applyFont="1" applyBorder="1" applyAlignment="1">
      <alignment vertical="center"/>
    </xf>
    <xf numFmtId="14" fontId="0" fillId="0" borderId="0" xfId="0" applyNumberFormat="1" applyAlignment="1">
      <alignment horizontal="left" vertical="top"/>
    </xf>
    <xf numFmtId="0" fontId="0" fillId="4" borderId="12" xfId="0" applyFill="1" applyBorder="1" applyAlignment="1">
      <alignment vertical="center"/>
    </xf>
    <xf numFmtId="4" fontId="0" fillId="4" borderId="0" xfId="0" applyNumberFormat="1" applyFill="1"/>
    <xf numFmtId="2" fontId="3" fillId="4" borderId="0" xfId="0" applyNumberFormat="1" applyFont="1" applyFill="1" applyAlignment="1">
      <alignment vertical="center"/>
    </xf>
    <xf numFmtId="4" fontId="3" fillId="4" borderId="0" xfId="0" applyNumberFormat="1" applyFont="1" applyFill="1" applyAlignment="1">
      <alignment vertical="center"/>
    </xf>
    <xf numFmtId="4" fontId="5" fillId="4" borderId="0" xfId="0" applyNumberFormat="1" applyFont="1" applyFill="1" applyAlignment="1">
      <alignment vertical="center"/>
    </xf>
    <xf numFmtId="0" fontId="1" fillId="0" borderId="1" xfId="0" applyFont="1" applyBorder="1" applyAlignment="1">
      <alignment horizontal="center" vertical="center"/>
    </xf>
    <xf numFmtId="4" fontId="3" fillId="4" borderId="0" xfId="0" applyNumberFormat="1" applyFont="1" applyFill="1"/>
    <xf numFmtId="3" fontId="3" fillId="4" borderId="0" xfId="0" applyNumberFormat="1" applyFont="1" applyFill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itterley Parish Council" id="{A072B600-6BD3-4D23-8ABB-840715391570}" userId="ce0f4373c56a771f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38" dT="2026-01-09T16:01:17.26" personId="{A072B600-6BD3-4D23-8ABB-840715391570}" id="{7EEF39EE-13D5-4C74-B725-DCCCFFD2AFA2}">
    <text>Should you increase earlier years slightly to ensure the increase for this year isn’t unreasonably high??</text>
  </threadedComment>
  <threadedComment ref="I119" dT="2026-01-09T16:01:17.26" personId="{A072B600-6BD3-4D23-8ABB-840715391570}" id="{B6590D20-17F6-4ADB-A7A9-691433A11DFB}">
    <text>Should you increase earlier years slightly to ensure the increase for this year isn’t unreasonably high??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89605-980A-485A-8765-80EB812A700A}">
  <dimension ref="A4:B28"/>
  <sheetViews>
    <sheetView workbookViewId="0">
      <selection activeCell="B30" sqref="B30"/>
    </sheetView>
  </sheetViews>
  <sheetFormatPr defaultRowHeight="15" x14ac:dyDescent="0.25"/>
  <cols>
    <col min="2" max="2" width="127.85546875" customWidth="1"/>
  </cols>
  <sheetData>
    <row r="4" spans="1:2" x14ac:dyDescent="0.25">
      <c r="A4">
        <v>1</v>
      </c>
      <c r="B4" t="s">
        <v>0</v>
      </c>
    </row>
    <row r="5" spans="1:2" x14ac:dyDescent="0.25">
      <c r="A5">
        <v>2</v>
      </c>
      <c r="B5" t="s">
        <v>1</v>
      </c>
    </row>
    <row r="6" spans="1:2" x14ac:dyDescent="0.25">
      <c r="B6" t="s">
        <v>2</v>
      </c>
    </row>
    <row r="7" spans="1:2" x14ac:dyDescent="0.25">
      <c r="B7" t="s">
        <v>3</v>
      </c>
    </row>
    <row r="8" spans="1:2" x14ac:dyDescent="0.25">
      <c r="B8" t="s">
        <v>4</v>
      </c>
    </row>
    <row r="9" spans="1:2" x14ac:dyDescent="0.25">
      <c r="B9" t="s">
        <v>5</v>
      </c>
    </row>
    <row r="10" spans="1:2" x14ac:dyDescent="0.25">
      <c r="B10" t="s">
        <v>6</v>
      </c>
    </row>
    <row r="11" spans="1:2" x14ac:dyDescent="0.25">
      <c r="B11" t="s">
        <v>7</v>
      </c>
    </row>
    <row r="12" spans="1:2" x14ac:dyDescent="0.25">
      <c r="A12">
        <v>3</v>
      </c>
      <c r="B12" t="s">
        <v>8</v>
      </c>
    </row>
    <row r="13" spans="1:2" x14ac:dyDescent="0.25">
      <c r="A13">
        <v>4</v>
      </c>
      <c r="B13" t="s">
        <v>9</v>
      </c>
    </row>
    <row r="14" spans="1:2" x14ac:dyDescent="0.25">
      <c r="A14">
        <v>5</v>
      </c>
      <c r="B14" t="s">
        <v>10</v>
      </c>
    </row>
    <row r="15" spans="1:2" x14ac:dyDescent="0.25">
      <c r="B15" t="s">
        <v>11</v>
      </c>
    </row>
    <row r="16" spans="1:2" x14ac:dyDescent="0.25">
      <c r="B16" t="s">
        <v>12</v>
      </c>
    </row>
    <row r="17" spans="1:2" x14ac:dyDescent="0.25">
      <c r="B17" t="s">
        <v>13</v>
      </c>
    </row>
    <row r="18" spans="1:2" x14ac:dyDescent="0.25">
      <c r="B18" t="s">
        <v>14</v>
      </c>
    </row>
    <row r="19" spans="1:2" x14ac:dyDescent="0.25">
      <c r="B19" t="s">
        <v>15</v>
      </c>
    </row>
    <row r="20" spans="1:2" x14ac:dyDescent="0.25">
      <c r="A20">
        <v>6</v>
      </c>
      <c r="B20" t="s">
        <v>16</v>
      </c>
    </row>
    <row r="21" spans="1:2" x14ac:dyDescent="0.25">
      <c r="A21">
        <v>7</v>
      </c>
      <c r="B21" t="s">
        <v>17</v>
      </c>
    </row>
    <row r="22" spans="1:2" x14ac:dyDescent="0.25">
      <c r="B22" s="133">
        <v>45625</v>
      </c>
    </row>
    <row r="23" spans="1:2" x14ac:dyDescent="0.25">
      <c r="A23">
        <v>8</v>
      </c>
      <c r="B23" t="s">
        <v>18</v>
      </c>
    </row>
    <row r="24" spans="1:2" x14ac:dyDescent="0.25">
      <c r="A24">
        <v>9</v>
      </c>
      <c r="B24" t="s">
        <v>19</v>
      </c>
    </row>
    <row r="25" spans="1:2" x14ac:dyDescent="0.25">
      <c r="A25">
        <v>10</v>
      </c>
      <c r="B25" t="s">
        <v>20</v>
      </c>
    </row>
    <row r="27" spans="1:2" x14ac:dyDescent="0.25">
      <c r="A27">
        <v>11</v>
      </c>
      <c r="B27" t="s">
        <v>21</v>
      </c>
    </row>
    <row r="28" spans="1:2" x14ac:dyDescent="0.25">
      <c r="B28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5"/>
  <sheetViews>
    <sheetView zoomScale="110" zoomScaleNormal="110" zoomScaleSheetLayoutView="120" workbookViewId="0">
      <selection activeCell="O19" sqref="O19"/>
    </sheetView>
  </sheetViews>
  <sheetFormatPr defaultColWidth="9.140625" defaultRowHeight="15" x14ac:dyDescent="0.25"/>
  <cols>
    <col min="1" max="1" width="31" style="1" customWidth="1"/>
    <col min="2" max="2" width="11.7109375" customWidth="1"/>
    <col min="3" max="3" width="14" style="1" customWidth="1"/>
    <col min="4" max="8" width="11.7109375" style="1" customWidth="1"/>
    <col min="9" max="9" width="45.5703125" style="1" customWidth="1"/>
    <col min="10" max="16384" width="9.140625" style="1"/>
  </cols>
  <sheetData>
    <row r="1" spans="1:9" s="6" customFormat="1" ht="32.25" customHeight="1" x14ac:dyDescent="0.25">
      <c r="A1" s="3" t="s">
        <v>23</v>
      </c>
      <c r="B1" s="139" t="s">
        <v>24</v>
      </c>
      <c r="C1" s="142" t="s">
        <v>25</v>
      </c>
      <c r="D1" s="142"/>
      <c r="E1" s="21" t="s">
        <v>26</v>
      </c>
      <c r="F1" s="139" t="s">
        <v>27</v>
      </c>
      <c r="G1" s="139" t="s">
        <v>28</v>
      </c>
      <c r="H1" s="139" t="s">
        <v>29</v>
      </c>
      <c r="I1" s="139"/>
    </row>
    <row r="2" spans="1:9" x14ac:dyDescent="0.25">
      <c r="B2" s="8" t="s">
        <v>30</v>
      </c>
      <c r="C2" s="8" t="s">
        <v>30</v>
      </c>
      <c r="D2" s="8" t="s">
        <v>31</v>
      </c>
      <c r="E2" s="8"/>
      <c r="F2" s="8" t="s">
        <v>31</v>
      </c>
      <c r="G2" s="8" t="s">
        <v>31</v>
      </c>
      <c r="H2" s="8" t="s">
        <v>31</v>
      </c>
      <c r="I2" s="2" t="s">
        <v>32</v>
      </c>
    </row>
    <row r="3" spans="1:9" x14ac:dyDescent="0.25">
      <c r="A3" s="3" t="s">
        <v>33</v>
      </c>
      <c r="B3" s="5" t="s">
        <v>34</v>
      </c>
      <c r="C3" s="5"/>
      <c r="D3" s="5"/>
      <c r="E3" s="5"/>
      <c r="F3" s="5"/>
      <c r="G3" s="5"/>
      <c r="H3" s="5"/>
    </row>
    <row r="4" spans="1:9" x14ac:dyDescent="0.25">
      <c r="A4" s="1" t="s">
        <v>35</v>
      </c>
      <c r="B4" s="16">
        <v>8124</v>
      </c>
      <c r="C4" s="16">
        <v>8367.7199999999993</v>
      </c>
      <c r="D4" s="4">
        <v>0</v>
      </c>
      <c r="E4" s="22">
        <f>+D4+C4</f>
        <v>8367.7199999999993</v>
      </c>
      <c r="F4" s="16">
        <f>C4*1.03</f>
        <v>8618.7515999999996</v>
      </c>
      <c r="G4" s="18">
        <f>F4*1.03</f>
        <v>8877.3141479999995</v>
      </c>
      <c r="H4" s="18">
        <f>+G4</f>
        <v>8877.3141479999995</v>
      </c>
    </row>
    <row r="5" spans="1:9" x14ac:dyDescent="0.25">
      <c r="A5" s="1" t="s">
        <v>36</v>
      </c>
      <c r="B5" s="16">
        <v>1662.06</v>
      </c>
      <c r="C5" s="16">
        <v>0</v>
      </c>
      <c r="D5" s="18">
        <v>602.44000000000005</v>
      </c>
      <c r="E5" s="22">
        <f t="shared" ref="E5:E7" si="0">+D5+C5</f>
        <v>602.44000000000005</v>
      </c>
      <c r="F5" s="18">
        <f>+E27</f>
        <v>669.19</v>
      </c>
      <c r="G5" s="18">
        <v>500</v>
      </c>
      <c r="H5" s="18">
        <v>500</v>
      </c>
    </row>
    <row r="6" spans="1:9" x14ac:dyDescent="0.25">
      <c r="A6" s="29" t="s">
        <v>37</v>
      </c>
      <c r="B6" s="16"/>
      <c r="C6" s="16"/>
      <c r="D6" s="18">
        <v>390</v>
      </c>
      <c r="E6" s="22">
        <f t="shared" si="0"/>
        <v>390</v>
      </c>
      <c r="F6" s="18">
        <v>390</v>
      </c>
      <c r="G6" s="18">
        <v>390</v>
      </c>
      <c r="H6" s="18">
        <v>390</v>
      </c>
    </row>
    <row r="7" spans="1:9" x14ac:dyDescent="0.25">
      <c r="A7" s="1" t="s">
        <v>38</v>
      </c>
      <c r="B7" s="16">
        <v>113.5</v>
      </c>
      <c r="C7" s="16">
        <v>11.13</v>
      </c>
      <c r="D7" s="18">
        <v>100</v>
      </c>
      <c r="E7" s="22">
        <f t="shared" si="0"/>
        <v>111.13</v>
      </c>
      <c r="F7" s="18">
        <v>100</v>
      </c>
      <c r="G7" s="18">
        <v>100</v>
      </c>
      <c r="H7" s="18">
        <v>100</v>
      </c>
    </row>
    <row r="8" spans="1:9" x14ac:dyDescent="0.25">
      <c r="B8" s="19">
        <f t="shared" ref="B8:H8" si="1">SUM(B4:B7)</f>
        <v>9899.56</v>
      </c>
      <c r="C8" s="19">
        <f t="shared" si="1"/>
        <v>8378.8499999999985</v>
      </c>
      <c r="D8" s="20">
        <f t="shared" si="1"/>
        <v>1092.44</v>
      </c>
      <c r="E8" s="22">
        <f>+D8+C8</f>
        <v>9471.2899999999991</v>
      </c>
      <c r="F8" s="20">
        <f t="shared" si="1"/>
        <v>9777.9416000000001</v>
      </c>
      <c r="G8" s="20">
        <f t="shared" si="1"/>
        <v>9867.3141479999995</v>
      </c>
      <c r="H8" s="20">
        <f t="shared" si="1"/>
        <v>9867.3141479999995</v>
      </c>
      <c r="I8" s="1" t="s">
        <v>39</v>
      </c>
    </row>
    <row r="9" spans="1:9" x14ac:dyDescent="0.25">
      <c r="B9" s="10"/>
      <c r="C9" s="10"/>
      <c r="D9" s="10"/>
      <c r="E9" s="23"/>
      <c r="F9" s="10"/>
      <c r="G9" s="10"/>
      <c r="H9" s="10"/>
    </row>
    <row r="10" spans="1:9" x14ac:dyDescent="0.25">
      <c r="A10" s="1" t="s">
        <v>40</v>
      </c>
      <c r="B10" s="17">
        <v>3444.32</v>
      </c>
      <c r="C10" s="27">
        <v>2211.6799999999998</v>
      </c>
      <c r="D10" s="4">
        <v>1701.18</v>
      </c>
      <c r="E10" s="22">
        <f t="shared" ref="E10:E27" si="2">+D10+C10</f>
        <v>3912.8599999999997</v>
      </c>
      <c r="F10" s="10">
        <v>3379.16</v>
      </c>
      <c r="G10" s="10">
        <v>3508</v>
      </c>
      <c r="H10" s="10">
        <v>3585.26</v>
      </c>
      <c r="I10" s="1" t="s">
        <v>41</v>
      </c>
    </row>
    <row r="11" spans="1:9" x14ac:dyDescent="0.25">
      <c r="A11" s="1" t="s">
        <v>42</v>
      </c>
      <c r="B11" s="16">
        <v>0</v>
      </c>
      <c r="C11" s="27">
        <v>62.55</v>
      </c>
      <c r="D11" s="10">
        <v>65</v>
      </c>
      <c r="E11" s="22">
        <f t="shared" si="2"/>
        <v>127.55</v>
      </c>
      <c r="F11" s="10">
        <v>130</v>
      </c>
      <c r="G11" s="10">
        <v>133</v>
      </c>
      <c r="H11" s="10">
        <v>135</v>
      </c>
    </row>
    <row r="12" spans="1:9" x14ac:dyDescent="0.25">
      <c r="A12" s="1" t="s">
        <v>43</v>
      </c>
      <c r="B12" s="16">
        <v>275</v>
      </c>
      <c r="C12" s="9">
        <v>0</v>
      </c>
      <c r="D12" s="10">
        <v>275</v>
      </c>
      <c r="E12" s="22">
        <f t="shared" si="2"/>
        <v>275</v>
      </c>
      <c r="F12" s="10">
        <v>281</v>
      </c>
      <c r="G12" s="10">
        <v>288</v>
      </c>
      <c r="H12" s="10">
        <v>294</v>
      </c>
    </row>
    <row r="13" spans="1:9" x14ac:dyDescent="0.25">
      <c r="A13" s="1" t="s">
        <v>44</v>
      </c>
      <c r="B13" s="16">
        <v>176.38</v>
      </c>
      <c r="C13" s="27">
        <v>232.24</v>
      </c>
      <c r="D13" s="10">
        <v>100</v>
      </c>
      <c r="E13" s="22">
        <f t="shared" si="2"/>
        <v>332.24</v>
      </c>
      <c r="F13" s="10">
        <v>300</v>
      </c>
      <c r="G13" s="10">
        <v>307</v>
      </c>
      <c r="H13" s="10">
        <v>314</v>
      </c>
      <c r="I13" s="1" t="s">
        <v>45</v>
      </c>
    </row>
    <row r="14" spans="1:9" x14ac:dyDescent="0.25">
      <c r="A14" s="1" t="s">
        <v>46</v>
      </c>
      <c r="B14" s="16">
        <v>403.78</v>
      </c>
      <c r="C14" s="27">
        <v>410.65</v>
      </c>
      <c r="D14" s="10">
        <v>0</v>
      </c>
      <c r="E14" s="22">
        <f t="shared" si="2"/>
        <v>410.65</v>
      </c>
      <c r="F14" s="10">
        <v>420</v>
      </c>
      <c r="G14" s="10">
        <v>429</v>
      </c>
      <c r="H14" s="10">
        <v>439</v>
      </c>
    </row>
    <row r="15" spans="1:9" x14ac:dyDescent="0.25">
      <c r="A15" s="1" t="s">
        <v>47</v>
      </c>
      <c r="B15" s="16">
        <v>869.44</v>
      </c>
      <c r="C15" s="27">
        <v>399.82</v>
      </c>
      <c r="D15" s="10">
        <f>284.18</f>
        <v>284.18</v>
      </c>
      <c r="E15" s="22">
        <f t="shared" si="2"/>
        <v>684</v>
      </c>
      <c r="F15" s="10">
        <v>350</v>
      </c>
      <c r="G15" s="10">
        <v>200</v>
      </c>
      <c r="H15" s="10">
        <f>G15*1.022</f>
        <v>204.4</v>
      </c>
      <c r="I15" s="1" t="s">
        <v>48</v>
      </c>
    </row>
    <row r="16" spans="1:9" x14ac:dyDescent="0.25">
      <c r="A16" s="1" t="s">
        <v>49</v>
      </c>
      <c r="B16" s="16">
        <v>0</v>
      </c>
      <c r="C16" s="27">
        <v>449.27</v>
      </c>
      <c r="D16" s="10">
        <v>0</v>
      </c>
      <c r="E16" s="22">
        <f t="shared" si="2"/>
        <v>449.27</v>
      </c>
      <c r="F16" s="10">
        <v>2400</v>
      </c>
      <c r="G16" s="10">
        <v>100</v>
      </c>
      <c r="H16" s="10">
        <v>100</v>
      </c>
      <c r="I16" s="1" t="s">
        <v>50</v>
      </c>
    </row>
    <row r="17" spans="1:9" ht="60.75" customHeight="1" x14ac:dyDescent="0.25">
      <c r="A17" s="1" t="s">
        <v>51</v>
      </c>
      <c r="B17" s="16">
        <v>105</v>
      </c>
      <c r="C17" s="27">
        <v>105</v>
      </c>
      <c r="D17" s="10">
        <v>0</v>
      </c>
      <c r="E17" s="22">
        <f t="shared" si="2"/>
        <v>105</v>
      </c>
      <c r="F17" s="10">
        <v>150</v>
      </c>
      <c r="G17" s="10">
        <v>154</v>
      </c>
      <c r="H17" s="10">
        <v>157</v>
      </c>
    </row>
    <row r="18" spans="1:9" x14ac:dyDescent="0.25">
      <c r="A18" s="1" t="s">
        <v>52</v>
      </c>
      <c r="B18" s="16">
        <v>500</v>
      </c>
      <c r="C18" s="9">
        <v>0</v>
      </c>
      <c r="D18" s="4">
        <v>700</v>
      </c>
      <c r="E18" s="25">
        <v>700</v>
      </c>
      <c r="F18" s="10">
        <f>E18*1.022</f>
        <v>715.4</v>
      </c>
      <c r="G18" s="10">
        <f t="shared" ref="G18:H18" si="3">F18*1.022</f>
        <v>731.13879999999995</v>
      </c>
      <c r="H18" s="10">
        <f t="shared" si="3"/>
        <v>747.22385359999998</v>
      </c>
    </row>
    <row r="19" spans="1:9" x14ac:dyDescent="0.25">
      <c r="A19" s="1" t="s">
        <v>53</v>
      </c>
      <c r="B19" s="16">
        <v>427.04</v>
      </c>
      <c r="C19" s="27">
        <v>449.11</v>
      </c>
      <c r="D19" s="4">
        <v>0</v>
      </c>
      <c r="E19" s="22">
        <f t="shared" si="2"/>
        <v>449.11</v>
      </c>
      <c r="F19" s="10">
        <v>498.21</v>
      </c>
      <c r="G19" s="10">
        <v>509</v>
      </c>
      <c r="H19" s="10">
        <v>520</v>
      </c>
      <c r="I19" s="1" t="s">
        <v>54</v>
      </c>
    </row>
    <row r="20" spans="1:9" x14ac:dyDescent="0.25">
      <c r="A20" s="1" t="s">
        <v>55</v>
      </c>
      <c r="B20" s="16">
        <v>60</v>
      </c>
      <c r="C20" s="9">
        <v>0</v>
      </c>
      <c r="D20" s="10">
        <v>250</v>
      </c>
      <c r="E20" s="22">
        <f t="shared" si="2"/>
        <v>250</v>
      </c>
      <c r="F20" s="10">
        <v>256</v>
      </c>
      <c r="G20" s="10">
        <v>261</v>
      </c>
      <c r="H20" s="10">
        <v>267</v>
      </c>
      <c r="I20" s="1" t="s">
        <v>56</v>
      </c>
    </row>
    <row r="21" spans="1:9" x14ac:dyDescent="0.25">
      <c r="A21" s="4" t="s">
        <v>57</v>
      </c>
      <c r="B21" s="16"/>
      <c r="C21" s="28">
        <v>2321.23</v>
      </c>
      <c r="D21" s="10"/>
      <c r="E21" s="22">
        <f t="shared" si="2"/>
        <v>2321.23</v>
      </c>
      <c r="F21" s="10"/>
      <c r="G21" s="10"/>
      <c r="H21" s="10"/>
    </row>
    <row r="22" spans="1:9" x14ac:dyDescent="0.25">
      <c r="A22" s="1" t="s">
        <v>58</v>
      </c>
      <c r="B22" s="16">
        <v>720</v>
      </c>
      <c r="C22" s="28"/>
      <c r="D22" s="10">
        <v>390</v>
      </c>
      <c r="E22" s="22">
        <f t="shared" si="2"/>
        <v>390</v>
      </c>
      <c r="F22" s="10">
        <v>390</v>
      </c>
      <c r="G22" s="10">
        <v>390</v>
      </c>
      <c r="H22" s="10">
        <v>390</v>
      </c>
      <c r="I22" s="1" t="s">
        <v>59</v>
      </c>
    </row>
    <row r="23" spans="1:9" x14ac:dyDescent="0.25">
      <c r="A23" s="1" t="s">
        <v>60</v>
      </c>
      <c r="B23" s="16">
        <v>400</v>
      </c>
      <c r="C23" s="27">
        <v>280</v>
      </c>
      <c r="D23" s="10">
        <v>200</v>
      </c>
      <c r="E23" s="22">
        <f t="shared" si="2"/>
        <v>480</v>
      </c>
      <c r="F23" s="10">
        <v>491</v>
      </c>
      <c r="G23" s="10">
        <v>502</v>
      </c>
      <c r="H23" s="10">
        <v>513</v>
      </c>
      <c r="I23" s="1" t="s">
        <v>61</v>
      </c>
    </row>
    <row r="24" spans="1:9" x14ac:dyDescent="0.25">
      <c r="A24" s="1" t="s">
        <v>62</v>
      </c>
      <c r="B24" s="16">
        <v>323.7</v>
      </c>
      <c r="C24" s="9">
        <v>0</v>
      </c>
      <c r="D24" s="10">
        <v>323</v>
      </c>
      <c r="E24" s="22">
        <f t="shared" si="2"/>
        <v>323</v>
      </c>
      <c r="F24" s="10">
        <v>700</v>
      </c>
      <c r="G24" s="10">
        <v>700</v>
      </c>
      <c r="H24" s="10">
        <v>700</v>
      </c>
      <c r="I24" s="1" t="s">
        <v>63</v>
      </c>
    </row>
    <row r="25" spans="1:9" x14ac:dyDescent="0.25">
      <c r="A25" s="1" t="s">
        <v>64</v>
      </c>
      <c r="B25" s="16">
        <v>0</v>
      </c>
      <c r="C25" s="28"/>
      <c r="D25" s="10">
        <v>0</v>
      </c>
      <c r="E25" s="22">
        <f t="shared" si="2"/>
        <v>0</v>
      </c>
      <c r="F25" s="10">
        <v>0</v>
      </c>
      <c r="G25" s="10">
        <v>0</v>
      </c>
      <c r="H25" s="10">
        <v>0</v>
      </c>
      <c r="I25" s="1" t="s">
        <v>65</v>
      </c>
    </row>
    <row r="26" spans="1:9" x14ac:dyDescent="0.25">
      <c r="A26" s="1" t="s">
        <v>66</v>
      </c>
      <c r="B26" s="16"/>
      <c r="C26" s="9"/>
      <c r="D26" s="10"/>
      <c r="E26" s="22"/>
      <c r="F26" s="10"/>
      <c r="G26" s="10">
        <v>1600</v>
      </c>
      <c r="H26" s="10"/>
      <c r="I26" s="1" t="s">
        <v>67</v>
      </c>
    </row>
    <row r="27" spans="1:9" x14ac:dyDescent="0.25">
      <c r="A27" s="1" t="s">
        <v>68</v>
      </c>
      <c r="B27" s="16"/>
      <c r="C27" s="9">
        <v>669.19</v>
      </c>
      <c r="D27" s="10"/>
      <c r="E27" s="22">
        <f t="shared" si="2"/>
        <v>669.19</v>
      </c>
      <c r="F27" s="10"/>
      <c r="G27" s="10"/>
      <c r="H27" s="10"/>
    </row>
    <row r="28" spans="1:9" x14ac:dyDescent="0.25">
      <c r="B28" s="19">
        <f>SUM(B10:B25)</f>
        <v>7704.66</v>
      </c>
      <c r="C28" s="15">
        <f>SUM(C10:C27)</f>
        <v>7590.7400000000016</v>
      </c>
      <c r="D28" s="15">
        <f>SUM(D10:D27)</f>
        <v>4288.3600000000006</v>
      </c>
      <c r="E28" s="22">
        <f>SUM(E10:E27)</f>
        <v>11879.1</v>
      </c>
      <c r="F28" s="15">
        <f>SUM(F10:F25)</f>
        <v>10460.769999999999</v>
      </c>
      <c r="G28" s="15">
        <f>SUM(G10:G26)</f>
        <v>9812.1388000000006</v>
      </c>
      <c r="H28" s="15">
        <f>SUM(H10:H25)</f>
        <v>8365.8838536000003</v>
      </c>
    </row>
    <row r="29" spans="1:9" x14ac:dyDescent="0.25">
      <c r="A29" s="1" t="s">
        <v>69</v>
      </c>
      <c r="E29" s="24">
        <f>E8-E28</f>
        <v>-2407.8100000000013</v>
      </c>
      <c r="F29" s="24">
        <f>F8-F28</f>
        <v>-682.82839999999851</v>
      </c>
      <c r="G29" s="24">
        <f>G8-G28</f>
        <v>55.175347999998849</v>
      </c>
      <c r="H29" s="24">
        <f>H8-H28</f>
        <v>1501.4302943999992</v>
      </c>
    </row>
    <row r="30" spans="1:9" x14ac:dyDescent="0.25">
      <c r="A30" s="26" t="s">
        <v>70</v>
      </c>
      <c r="C30" s="1">
        <v>9709.1099999999988</v>
      </c>
      <c r="G30"/>
    </row>
    <row r="31" spans="1:9" x14ac:dyDescent="0.25">
      <c r="A31" s="26" t="s">
        <v>71</v>
      </c>
      <c r="C31" s="1">
        <v>10783.929999999998</v>
      </c>
      <c r="E31" s="45">
        <f>C31+C30-D28</f>
        <v>16204.679999999997</v>
      </c>
      <c r="F31"/>
      <c r="G31"/>
    </row>
    <row r="33" spans="1:13" x14ac:dyDescent="0.25">
      <c r="A33" s="7" t="s">
        <v>72</v>
      </c>
      <c r="B33" s="9">
        <f>SUM(B4)</f>
        <v>8124</v>
      </c>
      <c r="C33" s="9">
        <f>SUM(C4)</f>
        <v>8367.7199999999993</v>
      </c>
      <c r="D33" s="10"/>
      <c r="E33" s="10"/>
      <c r="F33" s="10">
        <f>+F4</f>
        <v>8618.7515999999996</v>
      </c>
      <c r="G33" s="10">
        <f t="shared" ref="G33:H33" si="4">+G4</f>
        <v>8877.3141479999995</v>
      </c>
      <c r="H33" s="10">
        <f t="shared" si="4"/>
        <v>8877.3141479999995</v>
      </c>
      <c r="I33" s="11" t="s">
        <v>73</v>
      </c>
    </row>
    <row r="34" spans="1:13" x14ac:dyDescent="0.25">
      <c r="A34" s="14" t="s">
        <v>74</v>
      </c>
      <c r="B34" s="9">
        <f>SUM(B33/357.64)</f>
        <v>22.715579912761438</v>
      </c>
      <c r="C34" s="9">
        <f>SUM(C33/357.64)</f>
        <v>23.397047310144277</v>
      </c>
      <c r="D34" s="10"/>
      <c r="E34" s="10"/>
      <c r="F34" s="10">
        <f>C34*1.03</f>
        <v>24.098958729448604</v>
      </c>
      <c r="G34" s="10">
        <f>F34*1.03</f>
        <v>24.821927491332062</v>
      </c>
      <c r="H34" s="10">
        <f>G34*1.03</f>
        <v>25.566585316072025</v>
      </c>
    </row>
    <row r="35" spans="1:13" x14ac:dyDescent="0.25">
      <c r="A35" s="7" t="s">
        <v>75</v>
      </c>
      <c r="B35" s="9">
        <v>0</v>
      </c>
      <c r="C35" s="9">
        <f>SUM(C34-B34)</f>
        <v>0.68146739738283912</v>
      </c>
      <c r="D35" s="10"/>
      <c r="E35" s="10"/>
      <c r="F35" s="10">
        <f>SUM(F34-C34)</f>
        <v>0.70191141930432721</v>
      </c>
      <c r="G35" s="10">
        <f>SUM(G34-F34)</f>
        <v>0.72296876188345749</v>
      </c>
      <c r="H35" s="10">
        <f>SUM(H34-G34)</f>
        <v>0.74465782473996356</v>
      </c>
      <c r="I35" s="4"/>
    </row>
    <row r="36" spans="1:13" x14ac:dyDescent="0.25">
      <c r="A36" s="7" t="s">
        <v>76</v>
      </c>
      <c r="B36" s="13">
        <v>0</v>
      </c>
      <c r="C36" s="13">
        <f>SUM(C34-B34)/B34</f>
        <v>2.9999999999999822E-2</v>
      </c>
      <c r="D36" s="12"/>
      <c r="E36" s="12"/>
      <c r="F36" s="12">
        <f>SUM(F34-C34)/C34</f>
        <v>2.9999999999999954E-2</v>
      </c>
      <c r="G36" s="12">
        <f>SUM(G34-F34)/F34</f>
        <v>2.9999999999999975E-2</v>
      </c>
      <c r="H36" s="12">
        <f>SUM(H33-G33)/G33</f>
        <v>0</v>
      </c>
      <c r="I36" s="4"/>
    </row>
    <row r="38" spans="1:13" x14ac:dyDescent="0.25">
      <c r="A38" t="s">
        <v>77</v>
      </c>
      <c r="B38" s="1"/>
    </row>
    <row r="39" spans="1:13" x14ac:dyDescent="0.25">
      <c r="A39"/>
      <c r="B39" s="1"/>
      <c r="C39" s="35" t="s">
        <v>78</v>
      </c>
      <c r="E39" s="35">
        <v>45717</v>
      </c>
    </row>
    <row r="40" spans="1:13" x14ac:dyDescent="0.25">
      <c r="A40" t="s">
        <v>79</v>
      </c>
      <c r="B40" s="1"/>
      <c r="C40" s="32">
        <f>+C31+C30</f>
        <v>20493.039999999997</v>
      </c>
      <c r="F40" s="24">
        <f>+E42</f>
        <v>16204.679999999997</v>
      </c>
      <c r="G40" s="24">
        <f t="shared" ref="G40:H40" si="5">+F42</f>
        <v>15521.851599999998</v>
      </c>
      <c r="H40" s="24">
        <f t="shared" si="5"/>
        <v>15577.026947999997</v>
      </c>
    </row>
    <row r="41" spans="1:13" x14ac:dyDescent="0.25">
      <c r="A41" t="s">
        <v>80</v>
      </c>
      <c r="B41" s="1"/>
      <c r="E41" s="24"/>
      <c r="F41" s="24">
        <f>+F29</f>
        <v>-682.82839999999851</v>
      </c>
      <c r="G41" s="24">
        <f t="shared" ref="G41:H41" si="6">+G29</f>
        <v>55.175347999998849</v>
      </c>
      <c r="H41" s="24">
        <f t="shared" si="6"/>
        <v>1501.4302943999992</v>
      </c>
    </row>
    <row r="42" spans="1:13" x14ac:dyDescent="0.25">
      <c r="A42" t="s">
        <v>81</v>
      </c>
      <c r="B42" s="1"/>
      <c r="E42" s="24">
        <f>+E31</f>
        <v>16204.679999999997</v>
      </c>
      <c r="F42" s="24">
        <f>+F41+F40</f>
        <v>15521.851599999998</v>
      </c>
      <c r="G42" s="24">
        <f t="shared" ref="G42:H42" si="7">+G41+G40</f>
        <v>15577.026947999997</v>
      </c>
      <c r="H42" s="24">
        <f t="shared" si="7"/>
        <v>17078.457242399996</v>
      </c>
    </row>
    <row r="43" spans="1:13" ht="15.75" thickBot="1" x14ac:dyDescent="0.3">
      <c r="A43" t="s">
        <v>82</v>
      </c>
      <c r="B43" s="33"/>
      <c r="C43" s="34"/>
      <c r="D43" s="34"/>
      <c r="E43" s="46">
        <f>E42/E4</f>
        <v>1.9365705353429605</v>
      </c>
      <c r="F43" s="46">
        <f>F42/F4</f>
        <v>1.8009396627697216</v>
      </c>
      <c r="G43" s="46">
        <f>G42/G4</f>
        <v>1.7547004294659774</v>
      </c>
      <c r="H43" s="46">
        <f>H42/H4</f>
        <v>1.9238315731169275</v>
      </c>
      <c r="I43" s="34"/>
      <c r="J43" s="33"/>
      <c r="K43" s="34"/>
      <c r="L43" s="34"/>
      <c r="M43"/>
    </row>
    <row r="44" spans="1:13" s="44" customFormat="1" ht="60" x14ac:dyDescent="0.25">
      <c r="A44" s="41" t="s">
        <v>83</v>
      </c>
      <c r="B44" s="42"/>
      <c r="C44" s="43" t="s">
        <v>84</v>
      </c>
      <c r="D44" s="42"/>
      <c r="E44" s="44" t="s">
        <v>85</v>
      </c>
      <c r="F44" s="44" t="s">
        <v>86</v>
      </c>
      <c r="G44" s="44" t="s">
        <v>87</v>
      </c>
      <c r="H44" s="44" t="s">
        <v>88</v>
      </c>
    </row>
    <row r="45" spans="1:13" x14ac:dyDescent="0.25">
      <c r="A45" t="s">
        <v>89</v>
      </c>
      <c r="B45" s="33"/>
      <c r="C45" s="39">
        <v>10860.4</v>
      </c>
      <c r="D45" s="34"/>
      <c r="E45" s="36">
        <f>E42-E46-E47-E48-E49-E50-E51-E52-E53-E54</f>
        <v>13501.679999999997</v>
      </c>
      <c r="F45" s="36">
        <f>F42-F46-F47-F48-F49-F50-F51-F52-F53-F54</f>
        <v>13684.851599999998</v>
      </c>
      <c r="G45" s="36">
        <f t="shared" ref="G45:H45" si="8">G42-G46-G47-G48-G49-G50-G51-G52-G53-G54</f>
        <v>14840.026947999997</v>
      </c>
      <c r="H45" s="33">
        <f t="shared" si="8"/>
        <v>15841.457242399996</v>
      </c>
      <c r="I45" s="34"/>
      <c r="J45" s="33"/>
      <c r="K45" s="34"/>
      <c r="L45" s="34"/>
      <c r="M45" s="34"/>
    </row>
    <row r="46" spans="1:13" x14ac:dyDescent="0.25">
      <c r="A46" t="s">
        <v>90</v>
      </c>
      <c r="B46" s="33"/>
      <c r="C46" s="39">
        <v>300</v>
      </c>
      <c r="D46" s="34"/>
      <c r="E46" s="36">
        <v>500</v>
      </c>
      <c r="F46" s="36">
        <v>1100</v>
      </c>
      <c r="G46" s="36">
        <v>0</v>
      </c>
      <c r="H46" s="36">
        <v>500</v>
      </c>
      <c r="I46" s="34" t="s">
        <v>91</v>
      </c>
      <c r="J46" s="33"/>
      <c r="K46" s="34"/>
      <c r="L46" s="34"/>
      <c r="M46" s="34"/>
    </row>
    <row r="47" spans="1:13" x14ac:dyDescent="0.25">
      <c r="A47" t="s">
        <v>92</v>
      </c>
      <c r="B47" s="33"/>
      <c r="C47" s="39">
        <v>1466</v>
      </c>
      <c r="D47" s="34"/>
      <c r="E47" s="36">
        <v>1466</v>
      </c>
      <c r="F47" s="36">
        <v>0</v>
      </c>
      <c r="G47" s="36">
        <v>0</v>
      </c>
      <c r="H47" s="36">
        <v>0</v>
      </c>
      <c r="I47" s="34" t="s">
        <v>93</v>
      </c>
      <c r="J47" s="33"/>
      <c r="K47" s="34"/>
      <c r="L47" s="34"/>
      <c r="M47" s="34"/>
    </row>
    <row r="48" spans="1:13" x14ac:dyDescent="0.25">
      <c r="A48" t="s">
        <v>94</v>
      </c>
      <c r="B48" s="33"/>
      <c r="C48" s="39">
        <v>0</v>
      </c>
      <c r="D48" s="34"/>
      <c r="E48" s="36"/>
      <c r="F48" s="36"/>
      <c r="G48" s="36"/>
      <c r="H48" s="36"/>
      <c r="I48" s="34"/>
      <c r="J48" s="33"/>
      <c r="K48" s="34"/>
      <c r="L48" s="34"/>
      <c r="M48" s="34"/>
    </row>
    <row r="49" spans="1:13" x14ac:dyDescent="0.25">
      <c r="A49" t="s">
        <v>95</v>
      </c>
      <c r="B49" s="33"/>
      <c r="C49" s="39">
        <v>0</v>
      </c>
      <c r="D49" s="34"/>
      <c r="E49" s="36">
        <v>347</v>
      </c>
      <c r="F49" s="36">
        <v>347</v>
      </c>
      <c r="G49" s="36">
        <v>347</v>
      </c>
      <c r="H49" s="36">
        <v>347</v>
      </c>
      <c r="I49" s="34"/>
      <c r="J49" s="33"/>
      <c r="K49" s="34"/>
      <c r="L49" s="34"/>
      <c r="M49" s="34"/>
    </row>
    <row r="50" spans="1:13" x14ac:dyDescent="0.25">
      <c r="A50" t="s">
        <v>96</v>
      </c>
      <c r="B50" s="33"/>
      <c r="C50" s="39"/>
      <c r="D50" s="34"/>
      <c r="E50" s="36">
        <v>0</v>
      </c>
      <c r="F50" s="36">
        <v>0</v>
      </c>
      <c r="G50" s="36">
        <v>0</v>
      </c>
      <c r="H50" s="36">
        <v>0</v>
      </c>
      <c r="I50" s="34"/>
      <c r="J50" s="33"/>
      <c r="K50" s="34"/>
      <c r="L50" s="34"/>
      <c r="M50"/>
    </row>
    <row r="51" spans="1:13" x14ac:dyDescent="0.25">
      <c r="A51" s="31" t="s">
        <v>97</v>
      </c>
      <c r="B51" s="33"/>
      <c r="C51" s="39"/>
      <c r="D51" s="34"/>
      <c r="E51" s="36">
        <v>0</v>
      </c>
      <c r="F51" s="36">
        <v>0</v>
      </c>
      <c r="G51" s="36">
        <v>0</v>
      </c>
      <c r="H51" s="36">
        <v>0</v>
      </c>
      <c r="I51" s="34"/>
      <c r="J51" s="33"/>
      <c r="K51" s="34"/>
      <c r="L51" s="34"/>
      <c r="M51"/>
    </row>
    <row r="52" spans="1:13" x14ac:dyDescent="0.25">
      <c r="A52" t="s">
        <v>98</v>
      </c>
      <c r="B52" s="33"/>
      <c r="C52" s="39">
        <v>155</v>
      </c>
      <c r="D52" s="34"/>
      <c r="E52" s="36">
        <v>390</v>
      </c>
      <c r="F52" s="36">
        <v>390</v>
      </c>
      <c r="G52" s="36">
        <v>390</v>
      </c>
      <c r="H52" s="36">
        <v>390</v>
      </c>
      <c r="I52" s="34"/>
      <c r="J52" s="33"/>
      <c r="K52" s="34"/>
      <c r="L52" s="34"/>
      <c r="M52" s="34"/>
    </row>
    <row r="53" spans="1:13" x14ac:dyDescent="0.25">
      <c r="A53" s="31" t="s">
        <v>99</v>
      </c>
      <c r="B53" s="33"/>
      <c r="C53" s="39">
        <v>0</v>
      </c>
      <c r="D53" s="34"/>
      <c r="E53" s="36">
        <v>0</v>
      </c>
      <c r="F53" s="36">
        <v>0</v>
      </c>
      <c r="G53" s="36">
        <v>0</v>
      </c>
      <c r="H53" s="36">
        <v>0</v>
      </c>
      <c r="I53" s="34"/>
      <c r="J53" s="33"/>
      <c r="K53" s="34"/>
      <c r="L53" s="34"/>
      <c r="M53" s="34"/>
    </row>
    <row r="54" spans="1:13" x14ac:dyDescent="0.25">
      <c r="A54" s="31" t="s">
        <v>100</v>
      </c>
      <c r="B54" s="33"/>
      <c r="C54" s="39">
        <v>2585</v>
      </c>
      <c r="D54" s="34"/>
      <c r="E54" s="36">
        <v>0</v>
      </c>
      <c r="F54" s="36">
        <v>0</v>
      </c>
      <c r="G54" s="36">
        <v>0</v>
      </c>
      <c r="H54" s="36">
        <v>0</v>
      </c>
      <c r="I54" s="34" t="s">
        <v>101</v>
      </c>
      <c r="J54" s="33"/>
      <c r="K54" s="34"/>
      <c r="L54" s="34"/>
      <c r="M54" s="34"/>
    </row>
    <row r="55" spans="1:13" ht="15.75" thickBot="1" x14ac:dyDescent="0.3">
      <c r="A55" s="30" t="s">
        <v>102</v>
      </c>
      <c r="B55" s="33"/>
      <c r="C55" s="40">
        <v>15366.4</v>
      </c>
      <c r="D55" s="38"/>
      <c r="E55" s="37">
        <f>SUM(E45:E54)</f>
        <v>16204.679999999997</v>
      </c>
      <c r="F55" s="37">
        <f>SUM(F45:F54)</f>
        <v>15521.851599999998</v>
      </c>
      <c r="G55" s="37">
        <f t="shared" ref="G55:H55" si="9">SUM(G45:G54)</f>
        <v>15577.026947999997</v>
      </c>
      <c r="H55" s="37">
        <f t="shared" si="9"/>
        <v>17078.457242399996</v>
      </c>
      <c r="I55" s="38"/>
      <c r="J55" s="33"/>
      <c r="K55" s="38"/>
      <c r="L55" s="38"/>
      <c r="M55" s="38"/>
    </row>
  </sheetData>
  <mergeCells count="1">
    <mergeCell ref="C1:D1"/>
  </mergeCells>
  <printOptions gridLines="1"/>
  <pageMargins left="3.937007874015748E-2" right="3.937007874015748E-2" top="0.55118110236220474" bottom="0.35433070866141736" header="0.31496062992125984" footer="0.31496062992125984"/>
  <pageSetup paperSize="9" scale="90" fitToHeight="0" orientation="landscape" cellComments="asDisplayed" horizontalDpi="4294967293" verticalDpi="360" r:id="rId1"/>
  <headerFooter>
    <oddHeader>&amp;L&amp;14Bitterley Parish Council Draft Budget 2025-26  For Discussion at 18th November 2024 meeting and finalise at 20th January 2025 meeting.</oddHeader>
    <oddFooter>&amp;R&amp;D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8A89B-DE4E-4F7F-8724-7919E6D9CE3D}">
  <sheetPr>
    <pageSetUpPr fitToPage="1"/>
  </sheetPr>
  <dimension ref="A1:N160"/>
  <sheetViews>
    <sheetView topLeftCell="A58" workbookViewId="0">
      <selection activeCell="J18" sqref="J18"/>
    </sheetView>
  </sheetViews>
  <sheetFormatPr defaultColWidth="9.140625" defaultRowHeight="15" x14ac:dyDescent="0.25"/>
  <cols>
    <col min="1" max="1" width="25" style="1" customWidth="1"/>
    <col min="2" max="3" width="11.7109375" customWidth="1"/>
    <col min="4" max="4" width="14" style="1" customWidth="1"/>
    <col min="5" max="6" width="11.7109375" style="1" customWidth="1"/>
    <col min="7" max="7" width="12.7109375" style="1" customWidth="1"/>
    <col min="8" max="9" width="11.7109375" style="1" customWidth="1"/>
    <col min="10" max="10" width="63.5703125" style="1" customWidth="1"/>
    <col min="11" max="11" width="9.5703125" style="1" bestFit="1" customWidth="1"/>
    <col min="12" max="12" width="9.140625" style="1" customWidth="1"/>
    <col min="13" max="16384" width="9.140625" style="1"/>
  </cols>
  <sheetData>
    <row r="1" spans="1:10" ht="30" x14ac:dyDescent="0.25">
      <c r="A1" s="3" t="s">
        <v>103</v>
      </c>
      <c r="B1" s="139" t="s">
        <v>25</v>
      </c>
      <c r="C1" s="139" t="s">
        <v>104</v>
      </c>
      <c r="D1" s="142" t="s">
        <v>27</v>
      </c>
      <c r="E1" s="142"/>
      <c r="F1" s="21" t="s">
        <v>105</v>
      </c>
      <c r="G1" s="139" t="s">
        <v>28</v>
      </c>
      <c r="H1" s="139" t="s">
        <v>29</v>
      </c>
      <c r="I1" s="139" t="s">
        <v>106</v>
      </c>
      <c r="J1" s="139"/>
    </row>
    <row r="2" spans="1:10" ht="45" x14ac:dyDescent="0.25">
      <c r="A2" s="1" t="s">
        <v>168</v>
      </c>
      <c r="B2" s="84" t="s">
        <v>30</v>
      </c>
      <c r="C2" s="84" t="s">
        <v>107</v>
      </c>
      <c r="D2" s="85" t="s">
        <v>155</v>
      </c>
      <c r="E2" s="85" t="s">
        <v>108</v>
      </c>
      <c r="F2" s="85" t="s">
        <v>109</v>
      </c>
      <c r="G2" s="85" t="s">
        <v>110</v>
      </c>
      <c r="H2" s="84" t="s">
        <v>31</v>
      </c>
      <c r="I2" s="84" t="s">
        <v>31</v>
      </c>
      <c r="J2" s="3" t="s">
        <v>32</v>
      </c>
    </row>
    <row r="3" spans="1:10" x14ac:dyDescent="0.25">
      <c r="A3" s="86" t="s">
        <v>33</v>
      </c>
      <c r="B3" s="87" t="s">
        <v>34</v>
      </c>
      <c r="C3" s="87"/>
      <c r="D3" s="88"/>
      <c r="E3" s="87"/>
      <c r="F3" s="87"/>
      <c r="G3" s="87"/>
      <c r="H3" s="87"/>
      <c r="I3" s="87"/>
      <c r="J3" s="52"/>
    </row>
    <row r="4" spans="1:10" x14ac:dyDescent="0.25">
      <c r="A4" s="89" t="s">
        <v>35</v>
      </c>
      <c r="B4" s="16">
        <v>8367.7199999999993</v>
      </c>
      <c r="C4" s="16">
        <v>8551.81</v>
      </c>
      <c r="D4" s="16">
        <v>8551.81</v>
      </c>
      <c r="E4" s="131">
        <v>0</v>
      </c>
      <c r="F4" s="22">
        <f>+E4+D4</f>
        <v>8551.81</v>
      </c>
      <c r="G4" s="140">
        <v>8250</v>
      </c>
      <c r="H4" s="90">
        <v>8460</v>
      </c>
      <c r="I4" s="90">
        <v>8670</v>
      </c>
      <c r="J4" s="54"/>
    </row>
    <row r="5" spans="1:10" x14ac:dyDescent="0.25">
      <c r="A5" s="89" t="s">
        <v>36</v>
      </c>
      <c r="B5" s="16">
        <v>0</v>
      </c>
      <c r="C5" s="16">
        <v>669.19</v>
      </c>
      <c r="D5" s="16">
        <v>1424.73</v>
      </c>
      <c r="E5" s="17">
        <v>0</v>
      </c>
      <c r="F5" s="22">
        <f t="shared" ref="F5:F8" si="0">+E5+D5</f>
        <v>1424.73</v>
      </c>
      <c r="G5" s="17">
        <v>140</v>
      </c>
      <c r="H5" s="17">
        <v>500</v>
      </c>
      <c r="I5" s="17">
        <v>500</v>
      </c>
      <c r="J5" s="54"/>
    </row>
    <row r="6" spans="1:10" x14ac:dyDescent="0.25">
      <c r="A6" s="89" t="s">
        <v>37</v>
      </c>
      <c r="B6" s="16">
        <v>390</v>
      </c>
      <c r="C6" s="16">
        <v>390</v>
      </c>
      <c r="D6" s="16">
        <v>750</v>
      </c>
      <c r="E6" s="17">
        <v>0</v>
      </c>
      <c r="F6" s="22">
        <f t="shared" si="0"/>
        <v>750</v>
      </c>
      <c r="G6" s="17">
        <v>750</v>
      </c>
      <c r="H6" s="17">
        <v>390</v>
      </c>
      <c r="I6" s="17">
        <v>390</v>
      </c>
      <c r="J6" s="54"/>
    </row>
    <row r="7" spans="1:10" x14ac:dyDescent="0.25">
      <c r="A7" s="89" t="s">
        <v>38</v>
      </c>
      <c r="B7" s="16">
        <v>120.17</v>
      </c>
      <c r="C7" s="16">
        <v>100</v>
      </c>
      <c r="D7" s="16">
        <v>59.29</v>
      </c>
      <c r="E7" s="17">
        <v>15.66</v>
      </c>
      <c r="F7" s="22">
        <f t="shared" si="0"/>
        <v>74.95</v>
      </c>
      <c r="G7" s="17">
        <v>80</v>
      </c>
      <c r="H7" s="17">
        <v>80</v>
      </c>
      <c r="I7" s="17">
        <v>80</v>
      </c>
      <c r="J7" s="54"/>
    </row>
    <row r="8" spans="1:10" ht="15.75" thickBot="1" x14ac:dyDescent="0.3">
      <c r="A8" s="1" t="s">
        <v>154</v>
      </c>
      <c r="B8" s="16"/>
      <c r="C8" s="16"/>
      <c r="D8" s="16">
        <v>50</v>
      </c>
      <c r="E8" s="17">
        <v>0</v>
      </c>
      <c r="F8" s="22">
        <f t="shared" si="0"/>
        <v>50</v>
      </c>
      <c r="G8" s="137">
        <v>50</v>
      </c>
      <c r="H8" s="17">
        <v>0</v>
      </c>
      <c r="I8" s="17">
        <v>0</v>
      </c>
    </row>
    <row r="9" spans="1:10" ht="15.75" thickBot="1" x14ac:dyDescent="0.3">
      <c r="A9" s="80" t="s">
        <v>111</v>
      </c>
      <c r="B9" s="81">
        <f t="shared" ref="B9:G9" si="1">SUM(B4:B7)</f>
        <v>8877.89</v>
      </c>
      <c r="C9" s="81">
        <f>SUM(C4:C7)</f>
        <v>9711</v>
      </c>
      <c r="D9" s="81">
        <f>SUM(D4:D8)</f>
        <v>10835.83</v>
      </c>
      <c r="E9" s="132">
        <f>SUM(E4:E8)</f>
        <v>15.66</v>
      </c>
      <c r="F9" s="82">
        <f>+E9+D9</f>
        <v>10851.49</v>
      </c>
      <c r="G9" s="91">
        <f t="shared" ref="G9:J9" si="2">SUM(G4:G7)</f>
        <v>9220</v>
      </c>
      <c r="H9" s="91">
        <f>SUM(H4:H8)</f>
        <v>9430</v>
      </c>
      <c r="I9" s="91">
        <f>SUM(I4:I8)</f>
        <v>9640</v>
      </c>
      <c r="J9" s="92"/>
    </row>
    <row r="10" spans="1:10" x14ac:dyDescent="0.25">
      <c r="A10" s="101" t="s">
        <v>112</v>
      </c>
      <c r="B10" s="10"/>
      <c r="C10" s="10"/>
      <c r="D10" s="10"/>
      <c r="E10" s="9"/>
      <c r="F10" s="23"/>
      <c r="G10" s="94"/>
      <c r="H10" s="94"/>
      <c r="I10" s="94"/>
      <c r="J10" s="54" t="s">
        <v>113</v>
      </c>
    </row>
    <row r="11" spans="1:10" x14ac:dyDescent="0.25">
      <c r="A11" s="89" t="s">
        <v>40</v>
      </c>
      <c r="B11" s="17">
        <v>3912.61</v>
      </c>
      <c r="C11" s="17">
        <v>3379</v>
      </c>
      <c r="D11" s="9">
        <v>3138.19</v>
      </c>
      <c r="E11" s="17">
        <f>SUM(C11-D11)</f>
        <v>240.80999999999995</v>
      </c>
      <c r="F11" s="22">
        <v>4184.18</v>
      </c>
      <c r="G11" s="94">
        <v>3990</v>
      </c>
      <c r="H11" s="94">
        <v>4150</v>
      </c>
      <c r="I11" s="94">
        <v>4320</v>
      </c>
      <c r="J11" s="54" t="s">
        <v>157</v>
      </c>
    </row>
    <row r="12" spans="1:10" x14ac:dyDescent="0.25">
      <c r="A12" s="89" t="s">
        <v>42</v>
      </c>
      <c r="B12" s="16">
        <v>120.6</v>
      </c>
      <c r="C12" s="16">
        <v>130</v>
      </c>
      <c r="D12" s="9">
        <v>94.05</v>
      </c>
      <c r="E12" s="17">
        <f t="shared" ref="E12:E31" si="3">SUM(C12-D12)</f>
        <v>35.950000000000003</v>
      </c>
      <c r="F12" s="22">
        <f t="shared" ref="F12:F27" si="4">+E12+D12</f>
        <v>130</v>
      </c>
      <c r="G12" s="94">
        <f>(F12*$G$159)+F12</f>
        <v>130</v>
      </c>
      <c r="H12" s="94">
        <v>130</v>
      </c>
      <c r="I12" s="94">
        <v>140</v>
      </c>
      <c r="J12" s="54"/>
    </row>
    <row r="13" spans="1:10" x14ac:dyDescent="0.25">
      <c r="A13" s="89" t="s">
        <v>43</v>
      </c>
      <c r="B13" s="16">
        <v>275</v>
      </c>
      <c r="C13" s="16">
        <v>281</v>
      </c>
      <c r="D13" s="9">
        <v>11</v>
      </c>
      <c r="E13" s="17">
        <f t="shared" si="3"/>
        <v>270</v>
      </c>
      <c r="F13" s="22">
        <f t="shared" si="4"/>
        <v>281</v>
      </c>
      <c r="G13" s="94">
        <v>280</v>
      </c>
      <c r="H13" s="94">
        <v>290</v>
      </c>
      <c r="I13" s="94">
        <v>290</v>
      </c>
      <c r="J13" s="54" t="s">
        <v>156</v>
      </c>
    </row>
    <row r="14" spans="1:10" x14ac:dyDescent="0.25">
      <c r="A14" s="89" t="s">
        <v>44</v>
      </c>
      <c r="B14" s="16">
        <v>387.85</v>
      </c>
      <c r="C14" s="16">
        <v>300</v>
      </c>
      <c r="D14" s="9">
        <v>125.29</v>
      </c>
      <c r="E14" s="17">
        <f t="shared" si="3"/>
        <v>174.70999999999998</v>
      </c>
      <c r="F14" s="22">
        <f t="shared" si="4"/>
        <v>300</v>
      </c>
      <c r="G14" s="141">
        <v>200</v>
      </c>
      <c r="H14" s="94">
        <v>200</v>
      </c>
      <c r="I14" s="94">
        <v>210</v>
      </c>
      <c r="J14" s="54" t="s">
        <v>162</v>
      </c>
    </row>
    <row r="15" spans="1:10" x14ac:dyDescent="0.25">
      <c r="A15" s="89" t="s">
        <v>46</v>
      </c>
      <c r="B15" s="16">
        <v>410.65</v>
      </c>
      <c r="C15" s="16">
        <v>420</v>
      </c>
      <c r="D15" s="9">
        <v>368.54</v>
      </c>
      <c r="E15" s="17">
        <f t="shared" si="3"/>
        <v>51.45999999999998</v>
      </c>
      <c r="F15" s="22">
        <v>368.54</v>
      </c>
      <c r="G15" s="94">
        <v>370</v>
      </c>
      <c r="H15" s="94">
        <v>380</v>
      </c>
      <c r="I15" s="94">
        <v>390</v>
      </c>
      <c r="J15" s="54"/>
    </row>
    <row r="16" spans="1:10" x14ac:dyDescent="0.25">
      <c r="A16" s="89" t="s">
        <v>47</v>
      </c>
      <c r="B16" s="16">
        <v>745.22</v>
      </c>
      <c r="C16" s="16">
        <v>200</v>
      </c>
      <c r="D16" s="9">
        <v>111.63</v>
      </c>
      <c r="E16" s="17">
        <v>0</v>
      </c>
      <c r="F16" s="22">
        <f t="shared" ref="F16:F31" si="5">+E16+D16</f>
        <v>111.63</v>
      </c>
      <c r="G16" s="94">
        <v>110</v>
      </c>
      <c r="H16" s="94">
        <v>110</v>
      </c>
      <c r="I16" s="94">
        <v>120</v>
      </c>
      <c r="J16" s="54" t="s">
        <v>158</v>
      </c>
    </row>
    <row r="17" spans="1:10" x14ac:dyDescent="0.25">
      <c r="A17" s="89" t="s">
        <v>49</v>
      </c>
      <c r="B17" s="16">
        <v>0</v>
      </c>
      <c r="C17" s="16">
        <v>100</v>
      </c>
      <c r="D17" s="9">
        <v>0</v>
      </c>
      <c r="E17" s="17">
        <f t="shared" ref="E17:E36" si="6">SUM(C17-D17)</f>
        <v>100</v>
      </c>
      <c r="F17" s="22">
        <f t="shared" si="5"/>
        <v>100</v>
      </c>
      <c r="G17" s="94">
        <f>(F17*$G$159)+F17</f>
        <v>100</v>
      </c>
      <c r="H17" s="94">
        <v>100</v>
      </c>
      <c r="I17" s="94">
        <v>110</v>
      </c>
      <c r="J17" s="54"/>
    </row>
    <row r="18" spans="1:10" x14ac:dyDescent="0.25">
      <c r="A18" s="95" t="s">
        <v>114</v>
      </c>
      <c r="B18" s="16">
        <v>2549.27</v>
      </c>
      <c r="C18" s="16"/>
      <c r="D18" s="9">
        <v>0</v>
      </c>
      <c r="E18" s="17">
        <f t="shared" si="6"/>
        <v>0</v>
      </c>
      <c r="F18" s="22">
        <f t="shared" si="5"/>
        <v>0</v>
      </c>
      <c r="G18" s="94">
        <f>(F18*$G$159)+F18</f>
        <v>0</v>
      </c>
      <c r="H18" s="94">
        <f t="shared" ref="H14:H35" si="7">G18*(1+$H$159)</f>
        <v>0</v>
      </c>
      <c r="I18" s="94">
        <f t="shared" ref="I13:I35" si="8">(H18*$I$159)+H18</f>
        <v>0</v>
      </c>
      <c r="J18" s="96"/>
    </row>
    <row r="19" spans="1:10" x14ac:dyDescent="0.25">
      <c r="A19" s="89" t="s">
        <v>51</v>
      </c>
      <c r="B19" s="16">
        <v>105</v>
      </c>
      <c r="C19" s="16">
        <v>150</v>
      </c>
      <c r="D19" s="9">
        <v>150</v>
      </c>
      <c r="E19" s="17">
        <f t="shared" si="6"/>
        <v>0</v>
      </c>
      <c r="F19" s="22">
        <f t="shared" si="5"/>
        <v>150</v>
      </c>
      <c r="G19" s="94">
        <f>(F19*$G$159)+F19</f>
        <v>150</v>
      </c>
      <c r="H19" s="94">
        <v>150</v>
      </c>
      <c r="I19" s="94">
        <v>160</v>
      </c>
      <c r="J19" s="54"/>
    </row>
    <row r="20" spans="1:10" x14ac:dyDescent="0.25">
      <c r="A20" s="89" t="s">
        <v>52</v>
      </c>
      <c r="B20" s="16">
        <v>256.66000000000003</v>
      </c>
      <c r="C20" s="16">
        <v>787</v>
      </c>
      <c r="D20" s="9">
        <v>238.46</v>
      </c>
      <c r="E20" s="17">
        <f t="shared" si="6"/>
        <v>548.54</v>
      </c>
      <c r="F20" s="22">
        <v>262.33</v>
      </c>
      <c r="G20" s="94">
        <v>200</v>
      </c>
      <c r="H20" s="94">
        <v>200</v>
      </c>
      <c r="I20" s="94">
        <v>210</v>
      </c>
      <c r="J20" s="54"/>
    </row>
    <row r="21" spans="1:10" x14ac:dyDescent="0.25">
      <c r="A21" s="89" t="s">
        <v>53</v>
      </c>
      <c r="B21" s="16">
        <v>449.11</v>
      </c>
      <c r="C21" s="16">
        <v>498</v>
      </c>
      <c r="D21" s="9">
        <v>504.05</v>
      </c>
      <c r="E21" s="17">
        <f t="shared" si="6"/>
        <v>-6.0500000000000114</v>
      </c>
      <c r="F21" s="22">
        <v>504.05</v>
      </c>
      <c r="G21" s="94">
        <v>500</v>
      </c>
      <c r="H21" s="94">
        <v>520</v>
      </c>
      <c r="I21" s="94">
        <v>530</v>
      </c>
      <c r="J21" s="54" t="s">
        <v>54</v>
      </c>
    </row>
    <row r="22" spans="1:10" x14ac:dyDescent="0.25">
      <c r="A22" s="89" t="s">
        <v>55</v>
      </c>
      <c r="B22" s="16">
        <v>228</v>
      </c>
      <c r="C22" s="16">
        <v>500</v>
      </c>
      <c r="D22" s="9">
        <v>0</v>
      </c>
      <c r="E22" s="17">
        <f t="shared" si="6"/>
        <v>500</v>
      </c>
      <c r="F22" s="22">
        <f t="shared" ref="F22:F37" si="9">+E22+D22</f>
        <v>500</v>
      </c>
      <c r="G22" s="94">
        <f>(F22*$G$159)+F22</f>
        <v>500</v>
      </c>
      <c r="H22" s="94">
        <v>510</v>
      </c>
      <c r="I22" s="94">
        <v>520</v>
      </c>
      <c r="J22" s="54" t="s">
        <v>56</v>
      </c>
    </row>
    <row r="23" spans="1:10" x14ac:dyDescent="0.25">
      <c r="A23" s="101" t="s">
        <v>57</v>
      </c>
      <c r="B23" s="16">
        <v>2321.23</v>
      </c>
      <c r="C23" s="16">
        <v>0</v>
      </c>
      <c r="D23" s="10">
        <v>0</v>
      </c>
      <c r="E23" s="17">
        <f t="shared" si="6"/>
        <v>0</v>
      </c>
      <c r="F23" s="18">
        <f t="shared" si="9"/>
        <v>0</v>
      </c>
      <c r="G23" s="94">
        <f>(F23*$G$159)+F23</f>
        <v>0</v>
      </c>
      <c r="H23" s="94">
        <f t="shared" si="7"/>
        <v>0</v>
      </c>
      <c r="I23" s="94">
        <f t="shared" si="8"/>
        <v>0</v>
      </c>
      <c r="J23" s="96"/>
    </row>
    <row r="24" spans="1:10" x14ac:dyDescent="0.25">
      <c r="A24" s="95" t="s">
        <v>115</v>
      </c>
      <c r="B24" s="16">
        <v>0</v>
      </c>
      <c r="C24" s="16">
        <v>0</v>
      </c>
      <c r="D24" s="9">
        <v>0</v>
      </c>
      <c r="E24" s="17">
        <f t="shared" si="6"/>
        <v>0</v>
      </c>
      <c r="F24" s="18">
        <v>500</v>
      </c>
      <c r="G24" s="94">
        <v>0</v>
      </c>
      <c r="H24" s="94">
        <f t="shared" si="7"/>
        <v>0</v>
      </c>
      <c r="I24" s="94">
        <f t="shared" si="8"/>
        <v>0</v>
      </c>
      <c r="J24" s="96" t="s">
        <v>116</v>
      </c>
    </row>
    <row r="25" spans="1:10" x14ac:dyDescent="0.25">
      <c r="A25" s="89" t="s">
        <v>117</v>
      </c>
      <c r="B25" s="16">
        <v>770</v>
      </c>
      <c r="C25" s="16">
        <v>780</v>
      </c>
      <c r="D25" s="9">
        <v>236.5</v>
      </c>
      <c r="E25" s="17">
        <f t="shared" si="6"/>
        <v>543.5</v>
      </c>
      <c r="F25" s="22">
        <v>750</v>
      </c>
      <c r="G25" s="94">
        <v>750</v>
      </c>
      <c r="H25" s="94">
        <v>770</v>
      </c>
      <c r="I25" s="94">
        <v>790</v>
      </c>
      <c r="J25" s="54"/>
    </row>
    <row r="26" spans="1:10" x14ac:dyDescent="0.25">
      <c r="A26" s="89" t="s">
        <v>118</v>
      </c>
      <c r="B26" s="16"/>
      <c r="C26" s="16">
        <v>390</v>
      </c>
      <c r="D26" s="9">
        <v>750</v>
      </c>
      <c r="E26" s="17">
        <v>750</v>
      </c>
      <c r="F26" s="22">
        <v>750</v>
      </c>
      <c r="G26" s="94">
        <v>750</v>
      </c>
      <c r="H26" s="94">
        <v>750</v>
      </c>
      <c r="I26" s="94">
        <v>750</v>
      </c>
      <c r="J26" s="54" t="s">
        <v>119</v>
      </c>
    </row>
    <row r="27" spans="1:10" x14ac:dyDescent="0.25">
      <c r="A27" s="89" t="s">
        <v>120</v>
      </c>
      <c r="B27" s="16">
        <v>520</v>
      </c>
      <c r="C27" s="16">
        <v>491</v>
      </c>
      <c r="D27" s="9">
        <v>254.87</v>
      </c>
      <c r="E27" s="17">
        <f t="shared" ref="E27:E46" si="10">SUM(C27-D27)</f>
        <v>236.13</v>
      </c>
      <c r="F27" s="22">
        <f t="shared" ref="F27:F42" si="11">+E27+D27</f>
        <v>491</v>
      </c>
      <c r="G27" s="94">
        <v>340</v>
      </c>
      <c r="H27" s="94">
        <v>350</v>
      </c>
      <c r="I27" s="94">
        <v>360</v>
      </c>
      <c r="J27" s="54"/>
    </row>
    <row r="28" spans="1:10" x14ac:dyDescent="0.25">
      <c r="A28" s="89" t="s">
        <v>62</v>
      </c>
      <c r="B28" s="16">
        <v>866.9</v>
      </c>
      <c r="C28" s="16">
        <v>325</v>
      </c>
      <c r="D28" s="9">
        <v>273.45</v>
      </c>
      <c r="E28" s="17">
        <f t="shared" si="10"/>
        <v>51.550000000000011</v>
      </c>
      <c r="F28" s="22">
        <v>364.6</v>
      </c>
      <c r="G28" s="94">
        <v>370</v>
      </c>
      <c r="H28" s="94">
        <v>380</v>
      </c>
      <c r="I28" s="94">
        <v>390</v>
      </c>
      <c r="J28" s="96" t="s">
        <v>121</v>
      </c>
    </row>
    <row r="29" spans="1:10" x14ac:dyDescent="0.25">
      <c r="A29" s="134" t="s">
        <v>64</v>
      </c>
      <c r="B29" s="135">
        <v>0</v>
      </c>
      <c r="C29" s="135"/>
      <c r="D29" s="136">
        <v>0</v>
      </c>
      <c r="E29" s="137">
        <f t="shared" si="10"/>
        <v>0</v>
      </c>
      <c r="F29" s="138">
        <v>-250</v>
      </c>
      <c r="G29" s="94">
        <v>250</v>
      </c>
      <c r="H29" s="94">
        <v>260</v>
      </c>
      <c r="I29" s="94">
        <v>260</v>
      </c>
      <c r="J29" s="1" t="s">
        <v>122</v>
      </c>
    </row>
    <row r="30" spans="1:10" x14ac:dyDescent="0.25">
      <c r="A30" s="95" t="s">
        <v>123</v>
      </c>
      <c r="B30" s="16">
        <v>0</v>
      </c>
      <c r="C30" s="16">
        <v>0</v>
      </c>
      <c r="D30" s="9">
        <v>0</v>
      </c>
      <c r="E30" s="17">
        <f t="shared" si="10"/>
        <v>0</v>
      </c>
      <c r="F30" s="22">
        <v>250</v>
      </c>
      <c r="G30" s="94">
        <f>(F30*$G$159)+F30</f>
        <v>250</v>
      </c>
      <c r="H30" s="94">
        <v>260</v>
      </c>
      <c r="I30" s="94">
        <v>260</v>
      </c>
      <c r="J30" s="54" t="s">
        <v>124</v>
      </c>
    </row>
    <row r="31" spans="1:10" x14ac:dyDescent="0.25">
      <c r="A31" s="95" t="s">
        <v>125</v>
      </c>
      <c r="B31" s="16">
        <v>0</v>
      </c>
      <c r="C31" s="16">
        <v>102</v>
      </c>
      <c r="D31" s="9">
        <v>43.25</v>
      </c>
      <c r="E31" s="17">
        <f t="shared" si="10"/>
        <v>58.75</v>
      </c>
      <c r="F31" s="22">
        <v>57.67</v>
      </c>
      <c r="G31" s="94">
        <v>50</v>
      </c>
      <c r="H31" s="94">
        <v>50</v>
      </c>
      <c r="I31" s="94">
        <v>50</v>
      </c>
      <c r="J31" s="96"/>
    </row>
    <row r="32" spans="1:10" x14ac:dyDescent="0.25">
      <c r="B32" s="1"/>
      <c r="C32" s="1"/>
      <c r="G32" s="94">
        <f>(F32*$G$159)+F32</f>
        <v>0</v>
      </c>
      <c r="H32" s="94">
        <f t="shared" si="7"/>
        <v>0</v>
      </c>
      <c r="I32" s="94">
        <f t="shared" si="8"/>
        <v>0</v>
      </c>
    </row>
    <row r="33" spans="1:10" x14ac:dyDescent="0.25">
      <c r="A33" s="89"/>
      <c r="B33" s="16"/>
      <c r="C33" s="16"/>
      <c r="D33" s="9"/>
      <c r="E33" s="9"/>
      <c r="F33" s="22"/>
      <c r="G33" s="94">
        <f>(F33*$G$159)+F33</f>
        <v>0</v>
      </c>
      <c r="H33" s="94">
        <f t="shared" si="7"/>
        <v>0</v>
      </c>
      <c r="I33" s="94">
        <f t="shared" si="8"/>
        <v>0</v>
      </c>
      <c r="J33" s="54"/>
    </row>
    <row r="34" spans="1:10" x14ac:dyDescent="0.25">
      <c r="A34" s="89"/>
      <c r="B34" s="16"/>
      <c r="C34" s="16"/>
      <c r="D34" s="9"/>
      <c r="E34" s="9"/>
      <c r="F34" s="22"/>
      <c r="G34" s="94">
        <f>(F34*$G$159)+F34</f>
        <v>0</v>
      </c>
      <c r="H34" s="94">
        <f t="shared" si="7"/>
        <v>0</v>
      </c>
      <c r="I34" s="94">
        <f t="shared" si="8"/>
        <v>0</v>
      </c>
      <c r="J34" s="54"/>
    </row>
    <row r="35" spans="1:10" x14ac:dyDescent="0.25">
      <c r="A35" s="89" t="s">
        <v>126</v>
      </c>
      <c r="B35" s="16">
        <v>1345.81</v>
      </c>
      <c r="C35" s="16">
        <v>0</v>
      </c>
      <c r="D35" s="9">
        <v>137.85</v>
      </c>
      <c r="E35" s="9"/>
      <c r="F35" s="22">
        <f>+E35+D35</f>
        <v>137.85</v>
      </c>
      <c r="G35" s="94">
        <v>140</v>
      </c>
      <c r="H35" s="94">
        <v>140</v>
      </c>
      <c r="I35" s="94">
        <v>140</v>
      </c>
      <c r="J35" s="54" t="s">
        <v>127</v>
      </c>
    </row>
    <row r="36" spans="1:10" x14ac:dyDescent="0.25">
      <c r="A36" s="97" t="s">
        <v>111</v>
      </c>
      <c r="B36" s="98">
        <f>SUM(B11:B35)</f>
        <v>15263.91</v>
      </c>
      <c r="C36" s="98">
        <f>SUM(C11:C35)</f>
        <v>8833</v>
      </c>
      <c r="D36" s="99">
        <f t="shared" ref="D36:I36" si="12">SUM(D11:D35)</f>
        <v>6437.13</v>
      </c>
      <c r="E36" s="99">
        <f t="shared" si="12"/>
        <v>3555.3500000000004</v>
      </c>
      <c r="F36" s="99">
        <f t="shared" si="12"/>
        <v>9942.85</v>
      </c>
      <c r="G36" s="99">
        <f t="shared" si="12"/>
        <v>9430</v>
      </c>
      <c r="H36" s="99">
        <f t="shared" si="12"/>
        <v>9700</v>
      </c>
      <c r="I36" s="99">
        <f t="shared" si="12"/>
        <v>10000</v>
      </c>
      <c r="J36" s="100"/>
    </row>
    <row r="37" spans="1:10" x14ac:dyDescent="0.25">
      <c r="B37" s="78"/>
      <c r="C37" s="78"/>
      <c r="D37" s="79"/>
      <c r="E37" s="79"/>
      <c r="F37" s="22"/>
      <c r="G37" s="79"/>
      <c r="H37" s="79"/>
      <c r="I37" s="79"/>
    </row>
    <row r="38" spans="1:10" x14ac:dyDescent="0.25">
      <c r="A38" s="3" t="s">
        <v>69</v>
      </c>
      <c r="F38" s="24">
        <f>F9-F36</f>
        <v>908.63999999999942</v>
      </c>
      <c r="G38" s="24">
        <f>G9-G36</f>
        <v>-210</v>
      </c>
      <c r="H38" s="24">
        <f>H9-H36</f>
        <v>-270</v>
      </c>
      <c r="I38" s="24">
        <f>I9-I36</f>
        <v>-360</v>
      </c>
    </row>
    <row r="39" spans="1:10" x14ac:dyDescent="0.25">
      <c r="A39" s="26" t="s">
        <v>70</v>
      </c>
      <c r="F39" s="1">
        <v>7368</v>
      </c>
      <c r="H39"/>
    </row>
    <row r="40" spans="1:10" x14ac:dyDescent="0.25">
      <c r="A40" s="26" t="s">
        <v>71</v>
      </c>
      <c r="F40" s="45">
        <v>10952</v>
      </c>
      <c r="G40"/>
      <c r="H40"/>
    </row>
    <row r="41" spans="1:10" x14ac:dyDescent="0.25">
      <c r="A41" s="83" t="s">
        <v>164</v>
      </c>
      <c r="F41" s="45"/>
      <c r="G41"/>
      <c r="H41"/>
    </row>
    <row r="42" spans="1:10" x14ac:dyDescent="0.25">
      <c r="A42" s="26"/>
      <c r="F42" s="45"/>
      <c r="G42"/>
      <c r="H42"/>
    </row>
    <row r="43" spans="1:10" x14ac:dyDescent="0.25">
      <c r="A43" s="48" t="s">
        <v>128</v>
      </c>
      <c r="B43" s="49"/>
      <c r="C43" s="49"/>
      <c r="D43" s="50"/>
      <c r="E43" s="50"/>
      <c r="F43" s="51"/>
      <c r="G43" s="49"/>
      <c r="H43" s="49"/>
      <c r="I43" s="52"/>
      <c r="J43" s="52"/>
    </row>
    <row r="44" spans="1:10" x14ac:dyDescent="0.25">
      <c r="A44" s="53" t="s">
        <v>129</v>
      </c>
      <c r="F44" s="45"/>
      <c r="G44">
        <v>277.63</v>
      </c>
      <c r="H44"/>
      <c r="I44" s="54"/>
      <c r="J44" s="54" t="s">
        <v>130</v>
      </c>
    </row>
    <row r="45" spans="1:10" x14ac:dyDescent="0.25">
      <c r="A45" s="53" t="s">
        <v>131</v>
      </c>
      <c r="F45" s="45"/>
      <c r="H45"/>
      <c r="I45" s="54"/>
      <c r="J45" s="54"/>
    </row>
    <row r="46" spans="1:10" ht="15.75" thickBot="1" x14ac:dyDescent="0.3">
      <c r="A46" s="53" t="s">
        <v>132</v>
      </c>
      <c r="F46" s="45"/>
      <c r="G46"/>
      <c r="H46" s="34">
        <f>+G63</f>
        <v>1600</v>
      </c>
      <c r="I46" s="54"/>
      <c r="J46" s="54" t="s">
        <v>133</v>
      </c>
    </row>
    <row r="47" spans="1:10" ht="15.75" thickBot="1" x14ac:dyDescent="0.3">
      <c r="A47" s="102" t="s">
        <v>134</v>
      </c>
      <c r="B47" s="103"/>
      <c r="C47" s="103"/>
      <c r="D47" s="104"/>
      <c r="E47" s="104"/>
      <c r="F47" s="105">
        <f>SUM(F44:F46)</f>
        <v>0</v>
      </c>
      <c r="G47" s="105">
        <f t="shared" ref="G47:I47" si="13">SUM(G44:G46)</f>
        <v>277.63</v>
      </c>
      <c r="H47" s="105">
        <f t="shared" si="13"/>
        <v>1600</v>
      </c>
      <c r="I47" s="105">
        <f t="shared" si="13"/>
        <v>0</v>
      </c>
      <c r="J47" s="92"/>
    </row>
    <row r="48" spans="1:10" x14ac:dyDescent="0.25">
      <c r="A48" s="26"/>
      <c r="F48" s="45"/>
      <c r="G48"/>
      <c r="H48"/>
    </row>
    <row r="49" spans="1:10" x14ac:dyDescent="0.25">
      <c r="A49" s="30" t="s">
        <v>135</v>
      </c>
      <c r="B49" s="1"/>
      <c r="C49" s="1"/>
    </row>
    <row r="50" spans="1:10" x14ac:dyDescent="0.25">
      <c r="A50"/>
      <c r="B50" s="1"/>
      <c r="C50" s="1"/>
      <c r="D50" s="35"/>
      <c r="F50" s="35">
        <v>45717</v>
      </c>
      <c r="G50" s="35">
        <v>46082</v>
      </c>
      <c r="H50" s="35">
        <v>46447</v>
      </c>
      <c r="I50" s="35">
        <v>46813</v>
      </c>
    </row>
    <row r="51" spans="1:10" x14ac:dyDescent="0.25">
      <c r="A51" t="s">
        <v>79</v>
      </c>
      <c r="B51" s="1"/>
      <c r="C51" s="1"/>
      <c r="D51" s="47"/>
      <c r="F51" s="55">
        <f>+F40+F39</f>
        <v>18320</v>
      </c>
      <c r="G51" s="24">
        <f>+F53</f>
        <v>19228.64</v>
      </c>
      <c r="H51" s="24">
        <f t="shared" ref="H51" si="14">+G53</f>
        <v>19018.64</v>
      </c>
      <c r="I51" s="24">
        <f t="shared" ref="I51" si="15">+H53</f>
        <v>18748.64</v>
      </c>
    </row>
    <row r="52" spans="1:10" x14ac:dyDescent="0.25">
      <c r="A52" t="s">
        <v>80</v>
      </c>
      <c r="B52" s="1"/>
      <c r="C52" s="1"/>
      <c r="D52" s="24"/>
      <c r="F52" s="24">
        <f>+F38</f>
        <v>908.63999999999942</v>
      </c>
      <c r="G52" s="24">
        <f>+G38</f>
        <v>-210</v>
      </c>
      <c r="H52" s="24">
        <f>+H38</f>
        <v>-270</v>
      </c>
      <c r="I52" s="24">
        <f>+I38</f>
        <v>-360</v>
      </c>
    </row>
    <row r="53" spans="1:10" x14ac:dyDescent="0.25">
      <c r="A53" t="s">
        <v>81</v>
      </c>
      <c r="B53" s="1"/>
      <c r="C53" s="1"/>
      <c r="D53" s="55"/>
      <c r="F53" s="116">
        <f>+F52+F51</f>
        <v>19228.64</v>
      </c>
      <c r="G53" s="116">
        <f>+G52+G51</f>
        <v>19018.64</v>
      </c>
      <c r="H53" s="116">
        <f t="shared" ref="H53:I53" si="16">+H52+H51</f>
        <v>18748.64</v>
      </c>
      <c r="I53" s="116">
        <f t="shared" si="16"/>
        <v>18388.64</v>
      </c>
    </row>
    <row r="54" spans="1:10" x14ac:dyDescent="0.25">
      <c r="A54" s="30" t="s">
        <v>136</v>
      </c>
      <c r="B54" s="33"/>
      <c r="C54" s="33"/>
      <c r="D54" s="34"/>
      <c r="E54" s="34"/>
      <c r="F54" s="46">
        <f>F53/F4</f>
        <v>2.2484877470383462</v>
      </c>
      <c r="G54" s="46">
        <f>G53/G4</f>
        <v>2.3052896969696968</v>
      </c>
      <c r="H54" s="46">
        <f>H53/H4</f>
        <v>2.2161513002364064</v>
      </c>
      <c r="I54" s="46">
        <f>I53/I4</f>
        <v>2.1209504036908879</v>
      </c>
      <c r="J54" s="34"/>
    </row>
    <row r="55" spans="1:10" ht="15.75" thickBot="1" x14ac:dyDescent="0.3">
      <c r="A55"/>
      <c r="B55" s="33"/>
      <c r="C55" s="33"/>
      <c r="D55" s="34"/>
      <c r="E55" s="34"/>
      <c r="F55" s="46"/>
      <c r="G55" s="46"/>
      <c r="H55" s="46"/>
      <c r="I55" s="46"/>
      <c r="J55" s="34"/>
    </row>
    <row r="56" spans="1:10" ht="45.75" thickBot="1" x14ac:dyDescent="0.3">
      <c r="A56" s="106" t="s">
        <v>137</v>
      </c>
      <c r="B56" s="107"/>
      <c r="C56" s="107"/>
      <c r="D56" s="56" t="s">
        <v>84</v>
      </c>
      <c r="E56" s="107"/>
      <c r="F56" s="108" t="s">
        <v>86</v>
      </c>
      <c r="G56" s="108" t="s">
        <v>87</v>
      </c>
      <c r="H56" s="108" t="s">
        <v>138</v>
      </c>
      <c r="I56" s="108" t="s">
        <v>139</v>
      </c>
      <c r="J56" s="109"/>
    </row>
    <row r="57" spans="1:10" ht="15.75" thickBot="1" x14ac:dyDescent="0.3">
      <c r="A57" s="57" t="s">
        <v>89</v>
      </c>
      <c r="B57" s="58"/>
      <c r="C57" s="58"/>
      <c r="D57" s="59">
        <v>10860.4</v>
      </c>
      <c r="E57" s="60"/>
      <c r="F57" s="61">
        <f>F53-F63-F64-F65-F66-F67-F68-F69-F70-F71</f>
        <v>18554.009999999998</v>
      </c>
      <c r="G57" s="61">
        <f>G53-G63-G64-G65-G66-G67-G68-G69-G70-G71</f>
        <v>16668.64</v>
      </c>
      <c r="H57" s="61">
        <f t="shared" ref="H57:I57" si="17">H53-H63-H64-H65-H66-H67-H68-H69-H70-H71</f>
        <v>17198.64</v>
      </c>
      <c r="I57" s="61">
        <f t="shared" si="17"/>
        <v>16038.64</v>
      </c>
      <c r="J57" s="110"/>
    </row>
    <row r="58" spans="1:10" x14ac:dyDescent="0.25">
      <c r="A58" s="111"/>
      <c r="B58" s="1"/>
      <c r="C58" s="1"/>
      <c r="J58" s="112"/>
    </row>
    <row r="59" spans="1:10" x14ac:dyDescent="0.25">
      <c r="A59" s="119" t="s">
        <v>140</v>
      </c>
      <c r="B59" s="1"/>
      <c r="C59" s="1"/>
      <c r="G59" s="118">
        <f>G57/G4</f>
        <v>2.0204412121212121</v>
      </c>
      <c r="H59" s="118">
        <f t="shared" ref="H59:I59" si="18">H57/H4</f>
        <v>2.032936170212766</v>
      </c>
      <c r="I59" s="118">
        <f t="shared" si="18"/>
        <v>1.8499008073817762</v>
      </c>
      <c r="J59" s="112"/>
    </row>
    <row r="60" spans="1:10" x14ac:dyDescent="0.25">
      <c r="A60" s="111"/>
      <c r="B60" s="1"/>
      <c r="C60" s="1"/>
      <c r="J60" s="112"/>
    </row>
    <row r="61" spans="1:10" x14ac:dyDescent="0.25">
      <c r="A61" s="111"/>
      <c r="B61" s="1"/>
      <c r="C61" s="1"/>
      <c r="J61" s="112"/>
    </row>
    <row r="62" spans="1:10" ht="15.75" thickBot="1" x14ac:dyDescent="0.3">
      <c r="A62" s="113" t="s">
        <v>141</v>
      </c>
      <c r="B62" s="33"/>
      <c r="C62" s="33"/>
      <c r="D62" s="34"/>
      <c r="E62" s="34"/>
      <c r="F62" s="33"/>
      <c r="G62" s="33"/>
      <c r="H62" s="33"/>
      <c r="I62" s="33"/>
      <c r="J62" s="110"/>
    </row>
    <row r="63" spans="1:10" x14ac:dyDescent="0.25">
      <c r="A63" s="64" t="s">
        <v>90</v>
      </c>
      <c r="B63" s="65"/>
      <c r="C63" s="65"/>
      <c r="D63" s="66">
        <v>300</v>
      </c>
      <c r="E63" s="66"/>
      <c r="F63" s="65">
        <v>50</v>
      </c>
      <c r="G63" s="65">
        <v>1600</v>
      </c>
      <c r="H63" s="65">
        <v>800</v>
      </c>
      <c r="I63" s="67">
        <v>1600</v>
      </c>
      <c r="J63" s="110" t="s">
        <v>142</v>
      </c>
    </row>
    <row r="64" spans="1:10" x14ac:dyDescent="0.25">
      <c r="A64" s="68" t="s">
        <v>92</v>
      </c>
      <c r="B64" s="62"/>
      <c r="C64" s="62"/>
      <c r="D64" s="63">
        <v>1466</v>
      </c>
      <c r="E64" s="63"/>
      <c r="F64" s="62"/>
      <c r="G64" s="62">
        <v>0</v>
      </c>
      <c r="H64" s="62">
        <v>0</v>
      </c>
      <c r="I64" s="69">
        <v>0</v>
      </c>
      <c r="J64" s="110"/>
    </row>
    <row r="65" spans="1:10" x14ac:dyDescent="0.25">
      <c r="A65" s="68"/>
      <c r="B65" s="62"/>
      <c r="C65" s="62"/>
      <c r="D65" s="63">
        <v>0</v>
      </c>
      <c r="E65" s="63"/>
      <c r="F65" s="62"/>
      <c r="G65" s="62"/>
      <c r="H65" s="62"/>
      <c r="I65" s="69"/>
      <c r="J65" s="110"/>
    </row>
    <row r="66" spans="1:10" x14ac:dyDescent="0.25">
      <c r="A66" s="68" t="s">
        <v>95</v>
      </c>
      <c r="B66" s="62"/>
      <c r="C66" s="62"/>
      <c r="D66" s="63">
        <v>0</v>
      </c>
      <c r="E66" s="63"/>
      <c r="F66" s="62">
        <v>347</v>
      </c>
      <c r="G66" s="62"/>
      <c r="H66" s="62"/>
      <c r="I66" s="69"/>
      <c r="J66" s="110" t="s">
        <v>143</v>
      </c>
    </row>
    <row r="67" spans="1:10" x14ac:dyDescent="0.25">
      <c r="A67" s="68"/>
      <c r="B67" s="62"/>
      <c r="C67" s="62"/>
      <c r="D67" s="63"/>
      <c r="E67" s="63"/>
      <c r="F67" s="62">
        <v>0</v>
      </c>
      <c r="G67" s="62">
        <v>0</v>
      </c>
      <c r="H67" s="62">
        <v>0</v>
      </c>
      <c r="I67" s="69">
        <v>0</v>
      </c>
      <c r="J67" s="110"/>
    </row>
    <row r="68" spans="1:10" x14ac:dyDescent="0.25">
      <c r="A68" s="70"/>
      <c r="B68" s="62"/>
      <c r="C68" s="62"/>
      <c r="D68" s="63"/>
      <c r="E68" s="63"/>
      <c r="F68" s="62">
        <v>0</v>
      </c>
      <c r="G68" s="62">
        <v>0</v>
      </c>
      <c r="H68" s="62">
        <v>0</v>
      </c>
      <c r="I68" s="69">
        <v>0</v>
      </c>
      <c r="J68" s="110"/>
    </row>
    <row r="69" spans="1:10" x14ac:dyDescent="0.25">
      <c r="A69" s="68" t="s">
        <v>98</v>
      </c>
      <c r="B69" s="62"/>
      <c r="C69" s="62"/>
      <c r="D69" s="63">
        <v>155</v>
      </c>
      <c r="E69" s="63"/>
      <c r="F69" s="62"/>
      <c r="G69" s="62">
        <v>750</v>
      </c>
      <c r="H69" s="62">
        <v>750</v>
      </c>
      <c r="I69" s="69">
        <v>750</v>
      </c>
      <c r="J69" s="110" t="s">
        <v>144</v>
      </c>
    </row>
    <row r="70" spans="1:10" x14ac:dyDescent="0.25">
      <c r="A70" s="70"/>
      <c r="B70" s="62"/>
      <c r="C70" s="62"/>
      <c r="D70" s="63">
        <v>0</v>
      </c>
      <c r="E70" s="63"/>
      <c r="F70" s="62">
        <v>0</v>
      </c>
      <c r="G70" s="62"/>
      <c r="H70" s="62">
        <v>0</v>
      </c>
      <c r="I70" s="69">
        <v>0</v>
      </c>
      <c r="J70" s="110"/>
    </row>
    <row r="71" spans="1:10" ht="15.75" thickBot="1" x14ac:dyDescent="0.3">
      <c r="A71" s="71" t="s">
        <v>100</v>
      </c>
      <c r="B71" s="72"/>
      <c r="C71" s="72"/>
      <c r="D71" s="73">
        <v>2585</v>
      </c>
      <c r="E71" s="73"/>
      <c r="F71" s="72">
        <v>277.63</v>
      </c>
      <c r="G71" s="72">
        <v>0</v>
      </c>
      <c r="H71" s="72">
        <v>0</v>
      </c>
      <c r="I71" s="74">
        <v>0</v>
      </c>
      <c r="J71" s="110" t="s">
        <v>101</v>
      </c>
    </row>
    <row r="72" spans="1:10" ht="15.75" thickBot="1" x14ac:dyDescent="0.3">
      <c r="A72" s="75" t="s">
        <v>102</v>
      </c>
      <c r="B72" s="76"/>
      <c r="C72" s="76"/>
      <c r="D72" s="77">
        <v>15366.4</v>
      </c>
      <c r="E72" s="77"/>
      <c r="F72" s="115">
        <f>SUM(F57:F71)</f>
        <v>19228.64</v>
      </c>
      <c r="G72" s="115">
        <f>SUM(G57:G71)</f>
        <v>19020.66044121212</v>
      </c>
      <c r="H72" s="115">
        <f t="shared" ref="H72:I72" si="19">SUM(H57:H71)</f>
        <v>18750.672936170213</v>
      </c>
      <c r="I72" s="117">
        <f t="shared" si="19"/>
        <v>18390.489900807381</v>
      </c>
      <c r="J72" s="114"/>
    </row>
    <row r="73" spans="1:10" ht="15.75" thickBot="1" x14ac:dyDescent="0.3"/>
    <row r="74" spans="1:10" x14ac:dyDescent="0.25">
      <c r="A74" s="120" t="s">
        <v>145</v>
      </c>
      <c r="B74" s="121"/>
      <c r="C74" s="121"/>
      <c r="D74" s="122"/>
      <c r="E74" s="122"/>
      <c r="F74" s="122"/>
      <c r="G74" s="122"/>
      <c r="H74" s="122"/>
      <c r="I74" s="122"/>
      <c r="J74" s="93"/>
    </row>
    <row r="75" spans="1:10" x14ac:dyDescent="0.25">
      <c r="A75" s="123" t="s">
        <v>72</v>
      </c>
      <c r="B75" s="9">
        <f>SUM(B4)</f>
        <v>8367.7199999999993</v>
      </c>
      <c r="C75" s="9"/>
      <c r="D75" s="9">
        <f>SUM(D4)</f>
        <v>8551.81</v>
      </c>
      <c r="E75" s="10"/>
      <c r="F75" s="10"/>
      <c r="G75" s="10">
        <f>G76*356.24</f>
        <v>8250.0522501150917</v>
      </c>
      <c r="H75" s="10">
        <f>+H4</f>
        <v>8460</v>
      </c>
      <c r="I75" s="10">
        <f>+I4</f>
        <v>8670</v>
      </c>
      <c r="J75" s="124" t="s">
        <v>73</v>
      </c>
    </row>
    <row r="76" spans="1:10" x14ac:dyDescent="0.25">
      <c r="A76" s="125" t="s">
        <v>74</v>
      </c>
      <c r="B76" s="9">
        <f>SUM(B75/357.64)</f>
        <v>23.397047310144277</v>
      </c>
      <c r="C76" s="9"/>
      <c r="D76" s="9">
        <f>SUM(D75/369.27)</f>
        <v>23.158691472364396</v>
      </c>
      <c r="E76" s="10"/>
      <c r="F76" s="10"/>
      <c r="G76" s="10">
        <f>D76</f>
        <v>23.158691472364396</v>
      </c>
      <c r="H76" s="10">
        <f>SUM(H75/356.24)</f>
        <v>23.748035032562317</v>
      </c>
      <c r="I76" s="10">
        <f>SUM(I75/356.24)</f>
        <v>24.337525263867054</v>
      </c>
      <c r="J76" s="112" t="s">
        <v>153</v>
      </c>
    </row>
    <row r="77" spans="1:10" x14ac:dyDescent="0.25">
      <c r="A77" s="123" t="s">
        <v>75</v>
      </c>
      <c r="B77" s="9">
        <v>0</v>
      </c>
      <c r="C77" s="9"/>
      <c r="D77" s="9">
        <f>SUM(D76-B76)</f>
        <v>-0.23835583777988134</v>
      </c>
      <c r="E77" s="10"/>
      <c r="F77" s="10"/>
      <c r="G77" s="10">
        <f>SUM(G76-D76)</f>
        <v>0</v>
      </c>
      <c r="H77" s="10">
        <f>SUM(H76-G76)</f>
        <v>0.58934356019792133</v>
      </c>
      <c r="I77" s="10">
        <f>SUM(I76-H76)</f>
        <v>0.58949023130473677</v>
      </c>
      <c r="J77" s="126"/>
    </row>
    <row r="78" spans="1:10" x14ac:dyDescent="0.25">
      <c r="A78" s="123" t="s">
        <v>76</v>
      </c>
      <c r="B78" s="13">
        <v>0</v>
      </c>
      <c r="C78" s="13"/>
      <c r="D78" s="13">
        <f>SUM(D76-B76)/B76</f>
        <v>-1.0187432397785391E-2</v>
      </c>
      <c r="E78" s="12"/>
      <c r="F78" s="12"/>
      <c r="G78" s="13">
        <v>0</v>
      </c>
      <c r="H78" s="12">
        <v>2.5000000000000001E-2</v>
      </c>
      <c r="I78" s="12">
        <v>2.5000000000000001E-2</v>
      </c>
      <c r="J78" s="126"/>
    </row>
    <row r="79" spans="1:10" ht="15.75" thickBot="1" x14ac:dyDescent="0.3">
      <c r="A79" s="127"/>
      <c r="B79" s="128"/>
      <c r="C79" s="128"/>
      <c r="D79" s="129"/>
      <c r="E79" s="129"/>
      <c r="F79" s="129" t="s">
        <v>146</v>
      </c>
      <c r="G79" s="129">
        <f>G77/D76</f>
        <v>0</v>
      </c>
      <c r="H79" s="129">
        <f>H77/G76</f>
        <v>2.5448050935917239E-2</v>
      </c>
      <c r="I79" s="129">
        <f>I77/H76</f>
        <v>2.4822695035460925E-2</v>
      </c>
      <c r="J79" s="130" t="s">
        <v>147</v>
      </c>
    </row>
    <row r="82" spans="1:10" s="6" customFormat="1" ht="32.25" customHeight="1" x14ac:dyDescent="0.25">
      <c r="A82" s="3" t="s">
        <v>103</v>
      </c>
      <c r="B82" s="139" t="s">
        <v>25</v>
      </c>
      <c r="C82" s="139" t="s">
        <v>104</v>
      </c>
      <c r="D82" s="142" t="s">
        <v>27</v>
      </c>
      <c r="E82" s="142"/>
      <c r="F82" s="21" t="s">
        <v>105</v>
      </c>
      <c r="G82" s="139" t="s">
        <v>28</v>
      </c>
      <c r="H82" s="139" t="s">
        <v>29</v>
      </c>
      <c r="I82" s="139" t="s">
        <v>106</v>
      </c>
      <c r="J82" s="139"/>
    </row>
    <row r="83" spans="1:10" ht="44.25" customHeight="1" x14ac:dyDescent="0.25">
      <c r="A83" s="1" t="s">
        <v>169</v>
      </c>
      <c r="B83" s="84" t="s">
        <v>30</v>
      </c>
      <c r="C83" s="84" t="s">
        <v>107</v>
      </c>
      <c r="D83" s="85" t="s">
        <v>155</v>
      </c>
      <c r="E83" s="85" t="s">
        <v>108</v>
      </c>
      <c r="F83" s="85" t="s">
        <v>109</v>
      </c>
      <c r="G83" s="85" t="s">
        <v>110</v>
      </c>
      <c r="H83" s="84" t="s">
        <v>31</v>
      </c>
      <c r="I83" s="84" t="s">
        <v>31</v>
      </c>
      <c r="J83" s="3" t="s">
        <v>32</v>
      </c>
    </row>
    <row r="84" spans="1:10" x14ac:dyDescent="0.25">
      <c r="A84" s="86" t="s">
        <v>33</v>
      </c>
      <c r="B84" s="87" t="s">
        <v>34</v>
      </c>
      <c r="C84" s="87"/>
      <c r="D84" s="88"/>
      <c r="E84" s="87"/>
      <c r="F84" s="87"/>
      <c r="G84" s="87"/>
      <c r="H84" s="87"/>
      <c r="I84" s="87"/>
      <c r="J84" s="52"/>
    </row>
    <row r="85" spans="1:10" x14ac:dyDescent="0.25">
      <c r="A85" s="89" t="s">
        <v>35</v>
      </c>
      <c r="B85" s="16">
        <v>8367.7199999999993</v>
      </c>
      <c r="C85" s="16">
        <v>8551.81</v>
      </c>
      <c r="D85" s="16">
        <v>8551.81</v>
      </c>
      <c r="E85" s="131">
        <v>0</v>
      </c>
      <c r="F85" s="22">
        <f>+E85+D85</f>
        <v>8551.81</v>
      </c>
      <c r="G85" s="140">
        <v>8250</v>
      </c>
      <c r="H85" s="90">
        <v>8460</v>
      </c>
      <c r="I85" s="90">
        <v>8670</v>
      </c>
      <c r="J85" s="54"/>
    </row>
    <row r="86" spans="1:10" x14ac:dyDescent="0.25">
      <c r="A86" s="89" t="s">
        <v>36</v>
      </c>
      <c r="B86" s="16">
        <v>0</v>
      </c>
      <c r="C86" s="16">
        <v>669.19</v>
      </c>
      <c r="D86" s="16">
        <v>1424.73</v>
      </c>
      <c r="E86" s="17">
        <v>0</v>
      </c>
      <c r="F86" s="22">
        <f t="shared" ref="F86:F89" si="20">+E86+D86</f>
        <v>1424.73</v>
      </c>
      <c r="G86" s="17">
        <v>140</v>
      </c>
      <c r="H86" s="17">
        <v>500</v>
      </c>
      <c r="I86" s="17">
        <v>500</v>
      </c>
      <c r="J86" s="54"/>
    </row>
    <row r="87" spans="1:10" x14ac:dyDescent="0.25">
      <c r="A87" s="89" t="s">
        <v>37</v>
      </c>
      <c r="B87" s="16">
        <v>390</v>
      </c>
      <c r="C87" s="16">
        <v>390</v>
      </c>
      <c r="D87" s="16">
        <v>750</v>
      </c>
      <c r="E87" s="17">
        <v>0</v>
      </c>
      <c r="F87" s="22">
        <f t="shared" si="20"/>
        <v>750</v>
      </c>
      <c r="G87" s="17">
        <v>750</v>
      </c>
      <c r="H87" s="17">
        <v>390</v>
      </c>
      <c r="I87" s="17">
        <v>390</v>
      </c>
      <c r="J87" s="54"/>
    </row>
    <row r="88" spans="1:10" x14ac:dyDescent="0.25">
      <c r="A88" s="89" t="s">
        <v>38</v>
      </c>
      <c r="B88" s="16">
        <v>120.17</v>
      </c>
      <c r="C88" s="16">
        <v>100</v>
      </c>
      <c r="D88" s="16">
        <v>59.29</v>
      </c>
      <c r="E88" s="17">
        <v>15.66</v>
      </c>
      <c r="F88" s="22">
        <f t="shared" si="20"/>
        <v>74.95</v>
      </c>
      <c r="G88" s="17">
        <v>80</v>
      </c>
      <c r="H88" s="17">
        <v>80</v>
      </c>
      <c r="I88" s="17">
        <v>80</v>
      </c>
      <c r="J88" s="54"/>
    </row>
    <row r="89" spans="1:10" ht="15.75" thickBot="1" x14ac:dyDescent="0.3">
      <c r="A89" s="1" t="s">
        <v>154</v>
      </c>
      <c r="B89" s="16"/>
      <c r="C89" s="16"/>
      <c r="D89" s="16">
        <v>50</v>
      </c>
      <c r="E89" s="17">
        <v>0</v>
      </c>
      <c r="F89" s="22">
        <f t="shared" si="20"/>
        <v>50</v>
      </c>
      <c r="G89" s="137">
        <v>50</v>
      </c>
      <c r="H89" s="17">
        <v>0</v>
      </c>
      <c r="I89" s="17">
        <v>0</v>
      </c>
    </row>
    <row r="90" spans="1:10" ht="15.75" thickBot="1" x14ac:dyDescent="0.3">
      <c r="A90" s="80" t="s">
        <v>111</v>
      </c>
      <c r="B90" s="81">
        <f t="shared" ref="B90:G90" si="21">SUM(B85:B88)</f>
        <v>8877.89</v>
      </c>
      <c r="C90" s="81">
        <f>SUM(C85:C88)</f>
        <v>9711</v>
      </c>
      <c r="D90" s="81">
        <f>SUM(D85:D89)</f>
        <v>10835.83</v>
      </c>
      <c r="E90" s="132">
        <f>SUM(E85:E89)</f>
        <v>15.66</v>
      </c>
      <c r="F90" s="82">
        <f>+E90+D90</f>
        <v>10851.49</v>
      </c>
      <c r="G90" s="91">
        <f t="shared" si="21"/>
        <v>9220</v>
      </c>
      <c r="H90" s="91">
        <f>SUM(H85:H89)</f>
        <v>9430</v>
      </c>
      <c r="I90" s="91">
        <f>SUM(I85:I89)</f>
        <v>9640</v>
      </c>
      <c r="J90" s="92"/>
    </row>
    <row r="91" spans="1:10" x14ac:dyDescent="0.25">
      <c r="A91" s="101" t="s">
        <v>112</v>
      </c>
      <c r="B91" s="10"/>
      <c r="C91" s="10"/>
      <c r="D91" s="10"/>
      <c r="E91" s="9"/>
      <c r="F91" s="23"/>
      <c r="G91" s="94"/>
      <c r="H91" s="94"/>
      <c r="I91" s="94"/>
      <c r="J91" s="54" t="s">
        <v>113</v>
      </c>
    </row>
    <row r="92" spans="1:10" x14ac:dyDescent="0.25">
      <c r="A92" s="89" t="s">
        <v>40</v>
      </c>
      <c r="B92" s="17">
        <v>3912.61</v>
      </c>
      <c r="C92" s="17">
        <v>3379</v>
      </c>
      <c r="D92" s="9">
        <v>3138.19</v>
      </c>
      <c r="E92" s="17">
        <f>SUM(C92-D92)</f>
        <v>240.80999999999995</v>
      </c>
      <c r="F92" s="22">
        <v>4184.18</v>
      </c>
      <c r="G92" s="94">
        <v>3986</v>
      </c>
      <c r="H92" s="94">
        <v>4153</v>
      </c>
      <c r="I92" s="94">
        <v>4323</v>
      </c>
      <c r="J92" s="54" t="s">
        <v>157</v>
      </c>
    </row>
    <row r="93" spans="1:10" x14ac:dyDescent="0.25">
      <c r="A93" s="89" t="s">
        <v>42</v>
      </c>
      <c r="B93" s="16">
        <v>120.6</v>
      </c>
      <c r="C93" s="16">
        <v>130</v>
      </c>
      <c r="D93" s="9">
        <v>94.05</v>
      </c>
      <c r="E93" s="17">
        <f t="shared" ref="E93:E112" si="22">SUM(C93-D93)</f>
        <v>35.950000000000003</v>
      </c>
      <c r="F93" s="22">
        <f t="shared" ref="F93:F108" si="23">+E93+D93</f>
        <v>130</v>
      </c>
      <c r="G93" s="94">
        <f>(F93*$G$159)+F93</f>
        <v>130</v>
      </c>
      <c r="H93" s="94">
        <f>G93*(1+$H$159)</f>
        <v>133.25</v>
      </c>
      <c r="I93" s="94">
        <f>(H93*$I$159)+H93</f>
        <v>136.58125000000001</v>
      </c>
      <c r="J93" s="54"/>
    </row>
    <row r="94" spans="1:10" x14ac:dyDescent="0.25">
      <c r="A94" s="89" t="s">
        <v>43</v>
      </c>
      <c r="B94" s="16">
        <v>275</v>
      </c>
      <c r="C94" s="16">
        <v>281</v>
      </c>
      <c r="D94" s="9">
        <v>11</v>
      </c>
      <c r="E94" s="17">
        <f t="shared" si="22"/>
        <v>270</v>
      </c>
      <c r="F94" s="22">
        <f t="shared" si="23"/>
        <v>281</v>
      </c>
      <c r="G94" s="94">
        <v>280</v>
      </c>
      <c r="H94" s="94">
        <f>G94*(1+$H$159)</f>
        <v>287</v>
      </c>
      <c r="I94" s="94">
        <f t="shared" ref="I94:I116" si="24">(H94*$I$159)+H94</f>
        <v>294.17500000000001</v>
      </c>
      <c r="J94" s="54" t="s">
        <v>156</v>
      </c>
    </row>
    <row r="95" spans="1:10" x14ac:dyDescent="0.25">
      <c r="A95" s="89" t="s">
        <v>44</v>
      </c>
      <c r="B95" s="16">
        <v>387.85</v>
      </c>
      <c r="C95" s="16">
        <v>300</v>
      </c>
      <c r="D95" s="9">
        <v>125.29</v>
      </c>
      <c r="E95" s="17">
        <f t="shared" si="22"/>
        <v>174.70999999999998</v>
      </c>
      <c r="F95" s="22">
        <f t="shared" si="23"/>
        <v>300</v>
      </c>
      <c r="G95" s="141">
        <v>200</v>
      </c>
      <c r="H95" s="94">
        <f t="shared" ref="H95:H116" si="25">G95*(1+$H$159)</f>
        <v>204.99999999999997</v>
      </c>
      <c r="I95" s="94">
        <f t="shared" si="24"/>
        <v>210.12499999999997</v>
      </c>
      <c r="J95" s="54" t="s">
        <v>162</v>
      </c>
    </row>
    <row r="96" spans="1:10" x14ac:dyDescent="0.25">
      <c r="A96" s="89" t="s">
        <v>46</v>
      </c>
      <c r="B96" s="16">
        <v>410.65</v>
      </c>
      <c r="C96" s="16">
        <v>420</v>
      </c>
      <c r="D96" s="9">
        <v>368.54</v>
      </c>
      <c r="E96" s="17">
        <f t="shared" si="22"/>
        <v>51.45999999999998</v>
      </c>
      <c r="F96" s="22">
        <v>368.54</v>
      </c>
      <c r="G96" s="94">
        <v>370</v>
      </c>
      <c r="H96" s="94">
        <f t="shared" si="25"/>
        <v>379.24999999999994</v>
      </c>
      <c r="I96" s="94">
        <f t="shared" si="24"/>
        <v>388.73124999999993</v>
      </c>
      <c r="J96" s="54"/>
    </row>
    <row r="97" spans="1:10" x14ac:dyDescent="0.25">
      <c r="A97" s="89" t="s">
        <v>47</v>
      </c>
      <c r="B97" s="16">
        <v>745.22</v>
      </c>
      <c r="C97" s="16">
        <v>200</v>
      </c>
      <c r="D97" s="9">
        <v>111.63</v>
      </c>
      <c r="E97" s="17">
        <v>0</v>
      </c>
      <c r="F97" s="22">
        <f t="shared" si="23"/>
        <v>111.63</v>
      </c>
      <c r="G97" s="94">
        <v>110</v>
      </c>
      <c r="H97" s="94">
        <f t="shared" si="25"/>
        <v>112.74999999999999</v>
      </c>
      <c r="I97" s="94">
        <f t="shared" si="24"/>
        <v>115.56874999999998</v>
      </c>
      <c r="J97" s="54" t="s">
        <v>158</v>
      </c>
    </row>
    <row r="98" spans="1:10" x14ac:dyDescent="0.25">
      <c r="A98" s="89" t="s">
        <v>49</v>
      </c>
      <c r="B98" s="16">
        <v>0</v>
      </c>
      <c r="C98" s="16">
        <v>100</v>
      </c>
      <c r="D98" s="9">
        <v>0</v>
      </c>
      <c r="E98" s="17">
        <f t="shared" si="22"/>
        <v>100</v>
      </c>
      <c r="F98" s="22">
        <f t="shared" si="23"/>
        <v>100</v>
      </c>
      <c r="G98" s="94">
        <f>(F98*$G$159)+F98</f>
        <v>100</v>
      </c>
      <c r="H98" s="94">
        <f t="shared" si="25"/>
        <v>102.49999999999999</v>
      </c>
      <c r="I98" s="94">
        <f t="shared" si="24"/>
        <v>105.06249999999999</v>
      </c>
      <c r="J98" s="54"/>
    </row>
    <row r="99" spans="1:10" x14ac:dyDescent="0.25">
      <c r="A99" s="95" t="s">
        <v>114</v>
      </c>
      <c r="B99" s="16">
        <v>2549.27</v>
      </c>
      <c r="C99" s="16"/>
      <c r="D99" s="9">
        <v>0</v>
      </c>
      <c r="E99" s="17">
        <f t="shared" si="22"/>
        <v>0</v>
      </c>
      <c r="F99" s="22">
        <f t="shared" si="23"/>
        <v>0</v>
      </c>
      <c r="G99" s="94">
        <f>(F99*$G$159)+F99</f>
        <v>0</v>
      </c>
      <c r="H99" s="94">
        <f t="shared" si="25"/>
        <v>0</v>
      </c>
      <c r="I99" s="94">
        <f t="shared" si="24"/>
        <v>0</v>
      </c>
      <c r="J99" s="96"/>
    </row>
    <row r="100" spans="1:10" x14ac:dyDescent="0.25">
      <c r="A100" s="89" t="s">
        <v>51</v>
      </c>
      <c r="B100" s="16">
        <v>105</v>
      </c>
      <c r="C100" s="16">
        <v>150</v>
      </c>
      <c r="D100" s="9">
        <v>150</v>
      </c>
      <c r="E100" s="17">
        <f t="shared" si="22"/>
        <v>0</v>
      </c>
      <c r="F100" s="22">
        <f t="shared" si="23"/>
        <v>150</v>
      </c>
      <c r="G100" s="94">
        <f>(F100*$G$159)+F100</f>
        <v>150</v>
      </c>
      <c r="H100" s="94">
        <f t="shared" si="25"/>
        <v>153.75</v>
      </c>
      <c r="I100" s="94">
        <f t="shared" si="24"/>
        <v>157.59375</v>
      </c>
      <c r="J100" s="54"/>
    </row>
    <row r="101" spans="1:10" x14ac:dyDescent="0.25">
      <c r="A101" s="89" t="s">
        <v>52</v>
      </c>
      <c r="B101" s="16">
        <v>256.66000000000003</v>
      </c>
      <c r="C101" s="16">
        <v>787</v>
      </c>
      <c r="D101" s="9">
        <v>238.46</v>
      </c>
      <c r="E101" s="17">
        <f t="shared" si="22"/>
        <v>548.54</v>
      </c>
      <c r="F101" s="22">
        <v>262.33</v>
      </c>
      <c r="G101" s="94">
        <v>200</v>
      </c>
      <c r="H101" s="94">
        <f t="shared" si="25"/>
        <v>204.99999999999997</v>
      </c>
      <c r="I101" s="94">
        <f t="shared" si="24"/>
        <v>210.12499999999997</v>
      </c>
      <c r="J101" s="54"/>
    </row>
    <row r="102" spans="1:10" x14ac:dyDescent="0.25">
      <c r="A102" s="89" t="s">
        <v>53</v>
      </c>
      <c r="B102" s="16">
        <v>449.11</v>
      </c>
      <c r="C102" s="16">
        <v>498</v>
      </c>
      <c r="D102" s="9">
        <v>504.05</v>
      </c>
      <c r="E102" s="17">
        <f t="shared" si="22"/>
        <v>-6.0500000000000114</v>
      </c>
      <c r="F102" s="22">
        <v>504.05</v>
      </c>
      <c r="G102" s="94">
        <v>504</v>
      </c>
      <c r="H102" s="94">
        <f t="shared" si="25"/>
        <v>516.59999999999991</v>
      </c>
      <c r="I102" s="94">
        <f t="shared" si="24"/>
        <v>529.51499999999987</v>
      </c>
      <c r="J102" s="54" t="s">
        <v>54</v>
      </c>
    </row>
    <row r="103" spans="1:10" x14ac:dyDescent="0.25">
      <c r="A103" s="89" t="s">
        <v>55</v>
      </c>
      <c r="B103" s="16">
        <v>228</v>
      </c>
      <c r="C103" s="16">
        <v>500</v>
      </c>
      <c r="D103" s="9">
        <v>0</v>
      </c>
      <c r="E103" s="17">
        <f t="shared" si="22"/>
        <v>500</v>
      </c>
      <c r="F103" s="22">
        <f t="shared" si="23"/>
        <v>500</v>
      </c>
      <c r="G103" s="94">
        <f>(F103*$G$159)+F103</f>
        <v>500</v>
      </c>
      <c r="H103" s="94">
        <f t="shared" si="25"/>
        <v>512.5</v>
      </c>
      <c r="I103" s="94">
        <f t="shared" si="24"/>
        <v>525.3125</v>
      </c>
      <c r="J103" s="54" t="s">
        <v>56</v>
      </c>
    </row>
    <row r="104" spans="1:10" x14ac:dyDescent="0.25">
      <c r="A104" s="101" t="s">
        <v>57</v>
      </c>
      <c r="B104" s="16">
        <v>2321.23</v>
      </c>
      <c r="C104" s="16">
        <v>0</v>
      </c>
      <c r="D104" s="10">
        <v>0</v>
      </c>
      <c r="E104" s="17">
        <f t="shared" si="22"/>
        <v>0</v>
      </c>
      <c r="F104" s="18">
        <f t="shared" si="23"/>
        <v>0</v>
      </c>
      <c r="G104" s="94">
        <f>(F104*$G$159)+F104</f>
        <v>0</v>
      </c>
      <c r="H104" s="94">
        <f t="shared" si="25"/>
        <v>0</v>
      </c>
      <c r="I104" s="94">
        <f t="shared" si="24"/>
        <v>0</v>
      </c>
      <c r="J104" s="96"/>
    </row>
    <row r="105" spans="1:10" x14ac:dyDescent="0.25">
      <c r="A105" s="95" t="s">
        <v>115</v>
      </c>
      <c r="B105" s="16">
        <v>0</v>
      </c>
      <c r="C105" s="16">
        <v>0</v>
      </c>
      <c r="D105" s="9">
        <v>0</v>
      </c>
      <c r="E105" s="17">
        <f t="shared" si="22"/>
        <v>0</v>
      </c>
      <c r="F105" s="18">
        <v>500</v>
      </c>
      <c r="G105" s="94">
        <v>0</v>
      </c>
      <c r="H105" s="94">
        <f t="shared" si="25"/>
        <v>0</v>
      </c>
      <c r="I105" s="94">
        <f t="shared" si="24"/>
        <v>0</v>
      </c>
      <c r="J105" s="96" t="s">
        <v>116</v>
      </c>
    </row>
    <row r="106" spans="1:10" x14ac:dyDescent="0.25">
      <c r="A106" s="89" t="s">
        <v>117</v>
      </c>
      <c r="B106" s="16">
        <v>770</v>
      </c>
      <c r="C106" s="16">
        <v>780</v>
      </c>
      <c r="D106" s="9">
        <v>236.5</v>
      </c>
      <c r="E106" s="17">
        <f t="shared" si="22"/>
        <v>543.5</v>
      </c>
      <c r="F106" s="22">
        <v>750</v>
      </c>
      <c r="G106" s="94">
        <v>750</v>
      </c>
      <c r="H106" s="94">
        <f t="shared" si="25"/>
        <v>768.74999999999989</v>
      </c>
      <c r="I106" s="94">
        <f t="shared" si="24"/>
        <v>787.96874999999989</v>
      </c>
      <c r="J106" s="54"/>
    </row>
    <row r="107" spans="1:10" x14ac:dyDescent="0.25">
      <c r="A107" s="89" t="s">
        <v>118</v>
      </c>
      <c r="B107" s="16"/>
      <c r="C107" s="16">
        <v>390</v>
      </c>
      <c r="D107" s="9">
        <v>750</v>
      </c>
      <c r="E107" s="17">
        <v>750</v>
      </c>
      <c r="F107" s="22">
        <v>750</v>
      </c>
      <c r="G107" s="94">
        <v>750</v>
      </c>
      <c r="H107" s="94">
        <f t="shared" si="25"/>
        <v>768.74999999999989</v>
      </c>
      <c r="I107" s="94">
        <f t="shared" si="24"/>
        <v>787.96874999999989</v>
      </c>
      <c r="J107" s="54" t="s">
        <v>119</v>
      </c>
    </row>
    <row r="108" spans="1:10" x14ac:dyDescent="0.25">
      <c r="A108" s="89" t="s">
        <v>120</v>
      </c>
      <c r="B108" s="16">
        <v>520</v>
      </c>
      <c r="C108" s="16">
        <v>491</v>
      </c>
      <c r="D108" s="9">
        <v>254.87</v>
      </c>
      <c r="E108" s="17">
        <f t="shared" si="22"/>
        <v>236.13</v>
      </c>
      <c r="F108" s="22">
        <f t="shared" si="23"/>
        <v>491</v>
      </c>
      <c r="G108" s="94">
        <v>340</v>
      </c>
      <c r="H108" s="94">
        <f t="shared" si="25"/>
        <v>348.49999999999994</v>
      </c>
      <c r="I108" s="94">
        <f t="shared" si="24"/>
        <v>357.21249999999992</v>
      </c>
      <c r="J108" s="54"/>
    </row>
    <row r="109" spans="1:10" x14ac:dyDescent="0.25">
      <c r="A109" s="89" t="s">
        <v>62</v>
      </c>
      <c r="B109" s="16">
        <v>866.9</v>
      </c>
      <c r="C109" s="16">
        <v>325</v>
      </c>
      <c r="D109" s="9">
        <v>273.45</v>
      </c>
      <c r="E109" s="17">
        <f t="shared" si="22"/>
        <v>51.550000000000011</v>
      </c>
      <c r="F109" s="22">
        <v>364.6</v>
      </c>
      <c r="G109" s="94">
        <v>370</v>
      </c>
      <c r="H109" s="94">
        <f t="shared" si="25"/>
        <v>379.24999999999994</v>
      </c>
      <c r="I109" s="94">
        <f t="shared" si="24"/>
        <v>388.73124999999993</v>
      </c>
      <c r="J109" s="96" t="s">
        <v>121</v>
      </c>
    </row>
    <row r="110" spans="1:10" x14ac:dyDescent="0.25">
      <c r="A110" s="134" t="s">
        <v>64</v>
      </c>
      <c r="B110" s="135">
        <v>0</v>
      </c>
      <c r="C110" s="135"/>
      <c r="D110" s="136">
        <v>0</v>
      </c>
      <c r="E110" s="137">
        <f t="shared" si="22"/>
        <v>0</v>
      </c>
      <c r="F110" s="138">
        <v>-250</v>
      </c>
      <c r="G110" s="94">
        <v>250</v>
      </c>
      <c r="H110" s="94">
        <f t="shared" si="25"/>
        <v>256.25</v>
      </c>
      <c r="I110" s="94">
        <f t="shared" si="24"/>
        <v>262.65625</v>
      </c>
      <c r="J110" s="1" t="s">
        <v>122</v>
      </c>
    </row>
    <row r="111" spans="1:10" x14ac:dyDescent="0.25">
      <c r="A111" s="95" t="s">
        <v>123</v>
      </c>
      <c r="B111" s="16">
        <v>0</v>
      </c>
      <c r="C111" s="16">
        <v>0</v>
      </c>
      <c r="D111" s="9">
        <v>0</v>
      </c>
      <c r="E111" s="17">
        <f t="shared" si="22"/>
        <v>0</v>
      </c>
      <c r="F111" s="22">
        <v>250</v>
      </c>
      <c r="G111" s="94">
        <f>(F111*$G$159)+F111</f>
        <v>250</v>
      </c>
      <c r="H111" s="94">
        <f t="shared" si="25"/>
        <v>256.25</v>
      </c>
      <c r="I111" s="94">
        <f t="shared" si="24"/>
        <v>262.65625</v>
      </c>
      <c r="J111" s="54" t="s">
        <v>124</v>
      </c>
    </row>
    <row r="112" spans="1:10" x14ac:dyDescent="0.25">
      <c r="A112" s="95" t="s">
        <v>125</v>
      </c>
      <c r="B112" s="16">
        <v>0</v>
      </c>
      <c r="C112" s="16">
        <v>102</v>
      </c>
      <c r="D112" s="9">
        <v>43.25</v>
      </c>
      <c r="E112" s="17">
        <f t="shared" si="22"/>
        <v>58.75</v>
      </c>
      <c r="F112" s="22">
        <v>57.67</v>
      </c>
      <c r="G112" s="94">
        <v>50</v>
      </c>
      <c r="H112" s="94">
        <f t="shared" si="25"/>
        <v>51.249999999999993</v>
      </c>
      <c r="I112" s="94">
        <f t="shared" si="24"/>
        <v>52.531249999999993</v>
      </c>
      <c r="J112" s="96"/>
    </row>
    <row r="113" spans="1:10" x14ac:dyDescent="0.25">
      <c r="B113" s="1"/>
      <c r="C113" s="1"/>
      <c r="G113" s="94">
        <f>(F113*$G$159)+F113</f>
        <v>0</v>
      </c>
      <c r="H113" s="94">
        <f t="shared" si="25"/>
        <v>0</v>
      </c>
      <c r="I113" s="94">
        <f t="shared" si="24"/>
        <v>0</v>
      </c>
    </row>
    <row r="114" spans="1:10" x14ac:dyDescent="0.25">
      <c r="A114" s="89"/>
      <c r="B114" s="16"/>
      <c r="C114" s="16"/>
      <c r="D114" s="9"/>
      <c r="E114" s="9"/>
      <c r="F114" s="22"/>
      <c r="G114" s="94">
        <f>(F114*$G$159)+F114</f>
        <v>0</v>
      </c>
      <c r="H114" s="94">
        <f t="shared" si="25"/>
        <v>0</v>
      </c>
      <c r="I114" s="94">
        <f t="shared" si="24"/>
        <v>0</v>
      </c>
      <c r="J114" s="54"/>
    </row>
    <row r="115" spans="1:10" x14ac:dyDescent="0.25">
      <c r="A115" s="89"/>
      <c r="B115" s="16"/>
      <c r="C115" s="16"/>
      <c r="D115" s="9"/>
      <c r="E115" s="9"/>
      <c r="F115" s="22"/>
      <c r="G115" s="94">
        <f>(F115*$G$159)+F115</f>
        <v>0</v>
      </c>
      <c r="H115" s="94">
        <f t="shared" si="25"/>
        <v>0</v>
      </c>
      <c r="I115" s="94">
        <f t="shared" si="24"/>
        <v>0</v>
      </c>
      <c r="J115" s="54"/>
    </row>
    <row r="116" spans="1:10" x14ac:dyDescent="0.25">
      <c r="A116" s="89" t="s">
        <v>126</v>
      </c>
      <c r="B116" s="16">
        <v>1345.81</v>
      </c>
      <c r="C116" s="16">
        <v>0</v>
      </c>
      <c r="D116" s="9">
        <v>137.85</v>
      </c>
      <c r="E116" s="9"/>
      <c r="F116" s="22">
        <f>+E116+D116</f>
        <v>137.85</v>
      </c>
      <c r="G116" s="94">
        <v>140</v>
      </c>
      <c r="H116" s="94">
        <f t="shared" si="25"/>
        <v>143.5</v>
      </c>
      <c r="I116" s="94">
        <f t="shared" si="24"/>
        <v>147.08750000000001</v>
      </c>
      <c r="J116" s="54" t="s">
        <v>127</v>
      </c>
    </row>
    <row r="117" spans="1:10" x14ac:dyDescent="0.25">
      <c r="A117" s="97" t="s">
        <v>111</v>
      </c>
      <c r="B117" s="98">
        <f>SUM(B92:B116)</f>
        <v>15263.91</v>
      </c>
      <c r="C117" s="98">
        <f>SUM(C92:C116)</f>
        <v>8833</v>
      </c>
      <c r="D117" s="99">
        <f t="shared" ref="D117:I117" si="26">SUM(D92:D116)</f>
        <v>6437.13</v>
      </c>
      <c r="E117" s="99">
        <f t="shared" si="26"/>
        <v>3555.3500000000004</v>
      </c>
      <c r="F117" s="99">
        <f t="shared" si="26"/>
        <v>9942.85</v>
      </c>
      <c r="G117" s="99">
        <f t="shared" si="26"/>
        <v>9430</v>
      </c>
      <c r="H117" s="99">
        <f t="shared" si="26"/>
        <v>9733.1</v>
      </c>
      <c r="I117" s="99">
        <f t="shared" si="26"/>
        <v>10042.602500000001</v>
      </c>
      <c r="J117" s="100"/>
    </row>
    <row r="118" spans="1:10" x14ac:dyDescent="0.25">
      <c r="B118" s="78"/>
      <c r="C118" s="78"/>
      <c r="D118" s="79"/>
      <c r="E118" s="79"/>
      <c r="F118" s="22"/>
      <c r="G118" s="79"/>
      <c r="H118" s="79"/>
      <c r="I118" s="79"/>
    </row>
    <row r="119" spans="1:10" x14ac:dyDescent="0.25">
      <c r="A119" s="3" t="s">
        <v>69</v>
      </c>
      <c r="F119" s="24">
        <f>F90-F117</f>
        <v>908.63999999999942</v>
      </c>
      <c r="G119" s="24">
        <f>G90-G117</f>
        <v>-210</v>
      </c>
      <c r="H119" s="24">
        <f>H90-H117</f>
        <v>-303.10000000000036</v>
      </c>
      <c r="I119" s="24">
        <f>I90-I117</f>
        <v>-402.60250000000087</v>
      </c>
    </row>
    <row r="120" spans="1:10" x14ac:dyDescent="0.25">
      <c r="A120" s="26" t="s">
        <v>70</v>
      </c>
      <c r="F120" s="1">
        <v>7368</v>
      </c>
      <c r="H120"/>
    </row>
    <row r="121" spans="1:10" x14ac:dyDescent="0.25">
      <c r="A121" s="26" t="s">
        <v>71</v>
      </c>
      <c r="F121" s="45">
        <v>10952</v>
      </c>
      <c r="G121"/>
      <c r="H121"/>
    </row>
    <row r="122" spans="1:10" x14ac:dyDescent="0.25">
      <c r="A122" s="83" t="s">
        <v>164</v>
      </c>
      <c r="F122" s="45"/>
      <c r="G122"/>
      <c r="H122"/>
    </row>
    <row r="123" spans="1:10" x14ac:dyDescent="0.25">
      <c r="A123" s="26"/>
      <c r="F123" s="45"/>
      <c r="G123"/>
      <c r="H123"/>
    </row>
    <row r="124" spans="1:10" x14ac:dyDescent="0.25">
      <c r="A124" s="48" t="s">
        <v>128</v>
      </c>
      <c r="B124" s="49"/>
      <c r="C124" s="49"/>
      <c r="D124" s="50"/>
      <c r="E124" s="50"/>
      <c r="F124" s="51"/>
      <c r="G124" s="49"/>
      <c r="H124" s="49"/>
      <c r="I124" s="52"/>
      <c r="J124" s="52"/>
    </row>
    <row r="125" spans="1:10" x14ac:dyDescent="0.25">
      <c r="A125" s="53" t="s">
        <v>129</v>
      </c>
      <c r="F125" s="45"/>
      <c r="G125">
        <v>277.63</v>
      </c>
      <c r="H125"/>
      <c r="I125" s="54"/>
      <c r="J125" s="54" t="s">
        <v>130</v>
      </c>
    </row>
    <row r="126" spans="1:10" x14ac:dyDescent="0.25">
      <c r="A126" s="53" t="s">
        <v>131</v>
      </c>
      <c r="F126" s="45"/>
      <c r="H126"/>
      <c r="I126" s="54"/>
      <c r="J126" s="54"/>
    </row>
    <row r="127" spans="1:10" ht="15.75" thickBot="1" x14ac:dyDescent="0.3">
      <c r="A127" s="53" t="s">
        <v>132</v>
      </c>
      <c r="F127" s="45"/>
      <c r="G127"/>
      <c r="H127" s="34">
        <f>+G144</f>
        <v>1600</v>
      </c>
      <c r="I127" s="54"/>
      <c r="J127" s="54" t="s">
        <v>133</v>
      </c>
    </row>
    <row r="128" spans="1:10" ht="15.75" thickBot="1" x14ac:dyDescent="0.3">
      <c r="A128" s="102" t="s">
        <v>134</v>
      </c>
      <c r="B128" s="103"/>
      <c r="C128" s="103"/>
      <c r="D128" s="104"/>
      <c r="E128" s="104"/>
      <c r="F128" s="105">
        <f>SUM(F125:F127)</f>
        <v>0</v>
      </c>
      <c r="G128" s="105">
        <f t="shared" ref="G128:I128" si="27">SUM(G125:G127)</f>
        <v>277.63</v>
      </c>
      <c r="H128" s="105">
        <f t="shared" si="27"/>
        <v>1600</v>
      </c>
      <c r="I128" s="105">
        <f t="shared" si="27"/>
        <v>0</v>
      </c>
      <c r="J128" s="92"/>
    </row>
    <row r="129" spans="1:14" x14ac:dyDescent="0.25">
      <c r="A129" s="26"/>
      <c r="F129" s="45"/>
      <c r="G129"/>
      <c r="H129"/>
    </row>
    <row r="130" spans="1:14" x14ac:dyDescent="0.25">
      <c r="A130" s="30" t="s">
        <v>135</v>
      </c>
      <c r="B130" s="1"/>
      <c r="C130" s="1"/>
    </row>
    <row r="131" spans="1:14" x14ac:dyDescent="0.25">
      <c r="A131"/>
      <c r="B131" s="1"/>
      <c r="C131" s="1"/>
      <c r="D131" s="35"/>
      <c r="F131" s="35">
        <v>45717</v>
      </c>
      <c r="G131" s="35">
        <v>46082</v>
      </c>
      <c r="H131" s="35">
        <v>46447</v>
      </c>
      <c r="I131" s="35">
        <v>46813</v>
      </c>
    </row>
    <row r="132" spans="1:14" x14ac:dyDescent="0.25">
      <c r="A132" t="s">
        <v>79</v>
      </c>
      <c r="B132" s="1"/>
      <c r="C132" s="1"/>
      <c r="D132" s="47"/>
      <c r="F132" s="55">
        <f>+F121+F120</f>
        <v>18320</v>
      </c>
      <c r="G132" s="24">
        <f>+F134</f>
        <v>19228.64</v>
      </c>
      <c r="H132" s="24">
        <f t="shared" ref="H132:I132" si="28">+G134</f>
        <v>19018.64</v>
      </c>
      <c r="I132" s="24">
        <f t="shared" si="28"/>
        <v>18715.54</v>
      </c>
    </row>
    <row r="133" spans="1:14" x14ac:dyDescent="0.25">
      <c r="A133" t="s">
        <v>80</v>
      </c>
      <c r="B133" s="1"/>
      <c r="C133" s="1"/>
      <c r="D133" s="24"/>
      <c r="F133" s="24">
        <f>+F119</f>
        <v>908.63999999999942</v>
      </c>
      <c r="G133" s="24">
        <f>+G119</f>
        <v>-210</v>
      </c>
      <c r="H133" s="24">
        <f>+H119</f>
        <v>-303.10000000000036</v>
      </c>
      <c r="I133" s="24">
        <f>+I119</f>
        <v>-402.60250000000087</v>
      </c>
    </row>
    <row r="134" spans="1:14" x14ac:dyDescent="0.25">
      <c r="A134" t="s">
        <v>81</v>
      </c>
      <c r="B134" s="1"/>
      <c r="C134" s="1"/>
      <c r="D134" s="55"/>
      <c r="F134" s="116">
        <f>+F133+F132</f>
        <v>19228.64</v>
      </c>
      <c r="G134" s="116">
        <f>+G133+G132</f>
        <v>19018.64</v>
      </c>
      <c r="H134" s="116">
        <f t="shared" ref="H134:I134" si="29">+H133+H132</f>
        <v>18715.54</v>
      </c>
      <c r="I134" s="116">
        <f t="shared" si="29"/>
        <v>18312.9375</v>
      </c>
    </row>
    <row r="135" spans="1:14" x14ac:dyDescent="0.25">
      <c r="A135" s="30" t="s">
        <v>136</v>
      </c>
      <c r="B135" s="33"/>
      <c r="C135" s="33"/>
      <c r="D135" s="34"/>
      <c r="E135" s="34"/>
      <c r="F135" s="46">
        <f>F134/F85</f>
        <v>2.2484877470383462</v>
      </c>
      <c r="G135" s="46">
        <f>G134/G85</f>
        <v>2.3052896969696968</v>
      </c>
      <c r="H135" s="46">
        <f>H134/H85</f>
        <v>2.2122387706855795</v>
      </c>
      <c r="I135" s="46">
        <f>I134/I85</f>
        <v>2.112218858131488</v>
      </c>
      <c r="J135" s="34"/>
      <c r="K135" s="33"/>
      <c r="L135" s="34"/>
      <c r="M135" s="34"/>
      <c r="N135"/>
    </row>
    <row r="136" spans="1:14" ht="15.75" thickBot="1" x14ac:dyDescent="0.3">
      <c r="A136"/>
      <c r="B136" s="33"/>
      <c r="C136" s="33"/>
      <c r="D136" s="34"/>
      <c r="E136" s="34"/>
      <c r="F136" s="46"/>
      <c r="G136" s="46"/>
      <c r="H136" s="46"/>
      <c r="I136" s="46"/>
      <c r="J136" s="34"/>
      <c r="K136" s="33"/>
      <c r="L136" s="34"/>
      <c r="M136" s="34"/>
      <c r="N136"/>
    </row>
    <row r="137" spans="1:14" s="44" customFormat="1" ht="45.75" thickBot="1" x14ac:dyDescent="0.3">
      <c r="A137" s="106" t="s">
        <v>137</v>
      </c>
      <c r="B137" s="107"/>
      <c r="C137" s="107"/>
      <c r="D137" s="56" t="s">
        <v>84</v>
      </c>
      <c r="E137" s="107"/>
      <c r="F137" s="108" t="s">
        <v>86</v>
      </c>
      <c r="G137" s="108" t="s">
        <v>87</v>
      </c>
      <c r="H137" s="108" t="s">
        <v>138</v>
      </c>
      <c r="I137" s="108" t="s">
        <v>139</v>
      </c>
      <c r="J137" s="109"/>
    </row>
    <row r="138" spans="1:14" ht="15.75" thickBot="1" x14ac:dyDescent="0.3">
      <c r="A138" s="57" t="s">
        <v>89</v>
      </c>
      <c r="B138" s="58"/>
      <c r="C138" s="58"/>
      <c r="D138" s="59">
        <v>10860.4</v>
      </c>
      <c r="E138" s="60"/>
      <c r="F138" s="61">
        <f>F134-F144-F145-F146-F147-F148-F149-F150-F151-F152</f>
        <v>18554.009999999998</v>
      </c>
      <c r="G138" s="61">
        <f>G134-G144-G145-G146-G147-G148-G149-G150-G151-G152</f>
        <v>16668.64</v>
      </c>
      <c r="H138" s="61">
        <f t="shared" ref="H138:I138" si="30">H134-H144-H145-H146-H147-H148-H149-H150-H151-H152</f>
        <v>17165.54</v>
      </c>
      <c r="I138" s="61">
        <f t="shared" si="30"/>
        <v>15962.9375</v>
      </c>
      <c r="J138" s="110"/>
      <c r="K138" s="33"/>
      <c r="L138" s="34"/>
      <c r="M138" s="34"/>
      <c r="N138" s="34"/>
    </row>
    <row r="139" spans="1:14" x14ac:dyDescent="0.25">
      <c r="A139" s="111"/>
      <c r="B139" s="1"/>
      <c r="C139" s="1"/>
      <c r="J139" s="112"/>
      <c r="K139" s="33"/>
      <c r="L139" s="34"/>
      <c r="M139" s="34"/>
      <c r="N139" s="34"/>
    </row>
    <row r="140" spans="1:14" x14ac:dyDescent="0.25">
      <c r="A140" s="119" t="s">
        <v>140</v>
      </c>
      <c r="B140" s="1"/>
      <c r="C140" s="1"/>
      <c r="G140" s="118">
        <f>G138/G85</f>
        <v>2.0204412121212121</v>
      </c>
      <c r="H140" s="118">
        <f t="shared" ref="H140:I140" si="31">H138/H85</f>
        <v>2.0290236406619386</v>
      </c>
      <c r="I140" s="118">
        <f t="shared" si="31"/>
        <v>1.8411692618223761</v>
      </c>
      <c r="J140" s="112"/>
      <c r="K140" s="33"/>
      <c r="L140" s="34"/>
      <c r="M140" s="34"/>
      <c r="N140" s="34"/>
    </row>
    <row r="141" spans="1:14" x14ac:dyDescent="0.25">
      <c r="A141" s="111"/>
      <c r="B141" s="1"/>
      <c r="C141" s="1"/>
      <c r="J141" s="112"/>
      <c r="K141" s="33"/>
      <c r="L141" s="34"/>
      <c r="M141" s="34"/>
      <c r="N141" s="34"/>
    </row>
    <row r="142" spans="1:14" x14ac:dyDescent="0.25">
      <c r="A142" s="111"/>
      <c r="B142" s="1"/>
      <c r="C142" s="1"/>
      <c r="J142" s="112"/>
      <c r="K142" s="33"/>
      <c r="L142" s="34"/>
      <c r="M142" s="34"/>
      <c r="N142" s="34"/>
    </row>
    <row r="143" spans="1:14" ht="15.75" thickBot="1" x14ac:dyDescent="0.3">
      <c r="A143" s="113" t="s">
        <v>141</v>
      </c>
      <c r="B143" s="33"/>
      <c r="C143" s="33"/>
      <c r="D143" s="34"/>
      <c r="E143" s="34"/>
      <c r="F143" s="33"/>
      <c r="G143" s="33"/>
      <c r="H143" s="33"/>
      <c r="I143" s="33"/>
      <c r="J143" s="110"/>
      <c r="K143" s="33"/>
      <c r="L143" s="34"/>
      <c r="M143" s="34"/>
      <c r="N143" s="34"/>
    </row>
    <row r="144" spans="1:14" x14ac:dyDescent="0.25">
      <c r="A144" s="64" t="s">
        <v>90</v>
      </c>
      <c r="B144" s="65"/>
      <c r="C144" s="65"/>
      <c r="D144" s="66">
        <v>300</v>
      </c>
      <c r="E144" s="66"/>
      <c r="F144" s="65">
        <v>50</v>
      </c>
      <c r="G144" s="65">
        <v>1600</v>
      </c>
      <c r="H144" s="65">
        <v>800</v>
      </c>
      <c r="I144" s="67">
        <v>1600</v>
      </c>
      <c r="J144" s="110" t="s">
        <v>142</v>
      </c>
      <c r="K144" s="33"/>
      <c r="L144" s="34"/>
      <c r="M144" s="34"/>
      <c r="N144" s="34"/>
    </row>
    <row r="145" spans="1:14" x14ac:dyDescent="0.25">
      <c r="A145" s="68" t="s">
        <v>92</v>
      </c>
      <c r="B145" s="62"/>
      <c r="C145" s="62"/>
      <c r="D145" s="63">
        <v>1466</v>
      </c>
      <c r="E145" s="63"/>
      <c r="F145" s="62"/>
      <c r="G145" s="62">
        <v>0</v>
      </c>
      <c r="H145" s="62">
        <v>0</v>
      </c>
      <c r="I145" s="69">
        <v>0</v>
      </c>
      <c r="J145" s="110"/>
      <c r="K145" s="33"/>
      <c r="L145" s="34"/>
      <c r="M145" s="34"/>
      <c r="N145" s="34"/>
    </row>
    <row r="146" spans="1:14" x14ac:dyDescent="0.25">
      <c r="A146" s="68"/>
      <c r="B146" s="62"/>
      <c r="C146" s="62"/>
      <c r="D146" s="63">
        <v>0</v>
      </c>
      <c r="E146" s="63"/>
      <c r="F146" s="62"/>
      <c r="G146" s="62"/>
      <c r="H146" s="62"/>
      <c r="I146" s="69"/>
      <c r="J146" s="110"/>
      <c r="K146" s="33"/>
      <c r="L146" s="34"/>
      <c r="M146" s="34"/>
      <c r="N146" s="34"/>
    </row>
    <row r="147" spans="1:14" x14ac:dyDescent="0.25">
      <c r="A147" s="68" t="s">
        <v>95</v>
      </c>
      <c r="B147" s="62"/>
      <c r="C147" s="62"/>
      <c r="D147" s="63">
        <v>0</v>
      </c>
      <c r="E147" s="63"/>
      <c r="F147" s="62">
        <v>347</v>
      </c>
      <c r="G147" s="62"/>
      <c r="H147" s="62"/>
      <c r="I147" s="69"/>
      <c r="J147" s="110" t="s">
        <v>143</v>
      </c>
      <c r="K147" s="33"/>
      <c r="L147" s="34"/>
      <c r="M147" s="34"/>
      <c r="N147" s="34"/>
    </row>
    <row r="148" spans="1:14" x14ac:dyDescent="0.25">
      <c r="A148" s="68"/>
      <c r="B148" s="62"/>
      <c r="C148" s="62"/>
      <c r="D148" s="63"/>
      <c r="E148" s="63"/>
      <c r="F148" s="62">
        <v>0</v>
      </c>
      <c r="G148" s="62">
        <v>0</v>
      </c>
      <c r="H148" s="62">
        <v>0</v>
      </c>
      <c r="I148" s="69">
        <v>0</v>
      </c>
      <c r="J148" s="110"/>
      <c r="K148" s="33"/>
      <c r="L148" s="34"/>
      <c r="M148" s="34"/>
      <c r="N148"/>
    </row>
    <row r="149" spans="1:14" x14ac:dyDescent="0.25">
      <c r="A149" s="70"/>
      <c r="B149" s="62"/>
      <c r="C149" s="62"/>
      <c r="D149" s="63"/>
      <c r="E149" s="63"/>
      <c r="F149" s="62">
        <v>0</v>
      </c>
      <c r="G149" s="62">
        <v>0</v>
      </c>
      <c r="H149" s="62">
        <v>0</v>
      </c>
      <c r="I149" s="69">
        <v>0</v>
      </c>
      <c r="J149" s="110"/>
      <c r="K149" s="33"/>
      <c r="L149" s="34"/>
      <c r="M149" s="34"/>
      <c r="N149"/>
    </row>
    <row r="150" spans="1:14" x14ac:dyDescent="0.25">
      <c r="A150" s="68" t="s">
        <v>98</v>
      </c>
      <c r="B150" s="62"/>
      <c r="C150" s="62"/>
      <c r="D150" s="63">
        <v>155</v>
      </c>
      <c r="E150" s="63"/>
      <c r="F150" s="62"/>
      <c r="G150" s="62">
        <v>750</v>
      </c>
      <c r="H150" s="62">
        <v>750</v>
      </c>
      <c r="I150" s="69">
        <v>750</v>
      </c>
      <c r="J150" s="110" t="s">
        <v>144</v>
      </c>
      <c r="K150" s="33"/>
      <c r="L150" s="34"/>
      <c r="M150" s="34"/>
      <c r="N150" s="34"/>
    </row>
    <row r="151" spans="1:14" x14ac:dyDescent="0.25">
      <c r="A151" s="70"/>
      <c r="B151" s="62"/>
      <c r="C151" s="62"/>
      <c r="D151" s="63">
        <v>0</v>
      </c>
      <c r="E151" s="63"/>
      <c r="F151" s="62">
        <v>0</v>
      </c>
      <c r="G151" s="62"/>
      <c r="H151" s="62">
        <v>0</v>
      </c>
      <c r="I151" s="69">
        <v>0</v>
      </c>
      <c r="J151" s="110"/>
      <c r="K151" s="33"/>
      <c r="L151" s="34"/>
      <c r="M151" s="34"/>
      <c r="N151" s="34"/>
    </row>
    <row r="152" spans="1:14" ht="15.75" thickBot="1" x14ac:dyDescent="0.3">
      <c r="A152" s="71" t="s">
        <v>100</v>
      </c>
      <c r="B152" s="72"/>
      <c r="C152" s="72"/>
      <c r="D152" s="73">
        <v>2585</v>
      </c>
      <c r="E152" s="73"/>
      <c r="F152" s="72">
        <v>277.63</v>
      </c>
      <c r="G152" s="72">
        <v>0</v>
      </c>
      <c r="H152" s="72">
        <v>0</v>
      </c>
      <c r="I152" s="74">
        <v>0</v>
      </c>
      <c r="J152" s="110" t="s">
        <v>101</v>
      </c>
      <c r="K152" s="33"/>
      <c r="L152" s="34"/>
      <c r="M152" s="34"/>
      <c r="N152" s="34"/>
    </row>
    <row r="153" spans="1:14" ht="15.75" thickBot="1" x14ac:dyDescent="0.3">
      <c r="A153" s="75" t="s">
        <v>102</v>
      </c>
      <c r="B153" s="76"/>
      <c r="C153" s="76"/>
      <c r="D153" s="77">
        <v>15366.4</v>
      </c>
      <c r="E153" s="77"/>
      <c r="F153" s="115">
        <f>SUM(F138:F152)</f>
        <v>19228.64</v>
      </c>
      <c r="G153" s="115">
        <f>SUM(G138:G152)</f>
        <v>19020.66044121212</v>
      </c>
      <c r="H153" s="115">
        <f t="shared" ref="H153:I153" si="32">SUM(H138:H152)</f>
        <v>18717.569023640663</v>
      </c>
      <c r="I153" s="117">
        <f t="shared" si="32"/>
        <v>18314.778669261825</v>
      </c>
      <c r="J153" s="114"/>
      <c r="K153" s="33"/>
      <c r="L153" s="38"/>
      <c r="M153" s="38"/>
      <c r="N153" s="38"/>
    </row>
    <row r="154" spans="1:14" ht="15.75" thickBot="1" x14ac:dyDescent="0.3"/>
    <row r="155" spans="1:14" x14ac:dyDescent="0.25">
      <c r="A155" s="120" t="s">
        <v>145</v>
      </c>
      <c r="B155" s="121"/>
      <c r="C155" s="121"/>
      <c r="D155" s="122"/>
      <c r="E155" s="122"/>
      <c r="F155" s="122"/>
      <c r="G155" s="122"/>
      <c r="H155" s="122"/>
      <c r="I155" s="122"/>
      <c r="J155" s="93"/>
    </row>
    <row r="156" spans="1:14" x14ac:dyDescent="0.25">
      <c r="A156" s="123" t="s">
        <v>72</v>
      </c>
      <c r="B156" s="9">
        <f>SUM(B85)</f>
        <v>8367.7199999999993</v>
      </c>
      <c r="C156" s="9"/>
      <c r="D156" s="9">
        <f>SUM(D85)</f>
        <v>8551.81</v>
      </c>
      <c r="E156" s="10"/>
      <c r="F156" s="10"/>
      <c r="G156" s="10">
        <f>G157*356.24</f>
        <v>8250.0522501150917</v>
      </c>
      <c r="H156" s="10">
        <f>+H85</f>
        <v>8460</v>
      </c>
      <c r="I156" s="10">
        <f>+I85</f>
        <v>8670</v>
      </c>
      <c r="J156" s="124" t="s">
        <v>73</v>
      </c>
    </row>
    <row r="157" spans="1:14" x14ac:dyDescent="0.25">
      <c r="A157" s="125" t="s">
        <v>74</v>
      </c>
      <c r="B157" s="9">
        <f>SUM(B156/357.64)</f>
        <v>23.397047310144277</v>
      </c>
      <c r="C157" s="9"/>
      <c r="D157" s="9">
        <f>SUM(D156/369.27)</f>
        <v>23.158691472364396</v>
      </c>
      <c r="E157" s="10"/>
      <c r="F157" s="10"/>
      <c r="G157" s="10">
        <f>D157</f>
        <v>23.158691472364396</v>
      </c>
      <c r="H157" s="10">
        <f>SUM(H156/356.24)</f>
        <v>23.748035032562317</v>
      </c>
      <c r="I157" s="10">
        <f>SUM(I156/356.24)</f>
        <v>24.337525263867054</v>
      </c>
      <c r="J157" s="112" t="s">
        <v>153</v>
      </c>
    </row>
    <row r="158" spans="1:14" x14ac:dyDescent="0.25">
      <c r="A158" s="123" t="s">
        <v>75</v>
      </c>
      <c r="B158" s="9">
        <v>0</v>
      </c>
      <c r="C158" s="9"/>
      <c r="D158" s="9">
        <f>SUM(D157-B157)</f>
        <v>-0.23835583777988134</v>
      </c>
      <c r="E158" s="10"/>
      <c r="F158" s="10"/>
      <c r="G158" s="10">
        <f>SUM(G157-D157)</f>
        <v>0</v>
      </c>
      <c r="H158" s="10">
        <f>SUM(H157-G157)</f>
        <v>0.58934356019792133</v>
      </c>
      <c r="I158" s="10">
        <f>SUM(I157-H157)</f>
        <v>0.58949023130473677</v>
      </c>
      <c r="J158" s="126"/>
    </row>
    <row r="159" spans="1:14" x14ac:dyDescent="0.25">
      <c r="A159" s="123" t="s">
        <v>76</v>
      </c>
      <c r="B159" s="13">
        <v>0</v>
      </c>
      <c r="C159" s="13"/>
      <c r="D159" s="13">
        <f>SUM(D157-B157)/B157</f>
        <v>-1.0187432397785391E-2</v>
      </c>
      <c r="E159" s="12"/>
      <c r="F159" s="12"/>
      <c r="G159" s="13">
        <v>0</v>
      </c>
      <c r="H159" s="12">
        <v>2.5000000000000001E-2</v>
      </c>
      <c r="I159" s="12">
        <v>2.5000000000000001E-2</v>
      </c>
      <c r="J159" s="126"/>
    </row>
    <row r="160" spans="1:14" ht="15.75" thickBot="1" x14ac:dyDescent="0.3">
      <c r="A160" s="127"/>
      <c r="B160" s="128"/>
      <c r="C160" s="128"/>
      <c r="D160" s="129"/>
      <c r="E160" s="129"/>
      <c r="F160" s="129" t="s">
        <v>146</v>
      </c>
      <c r="G160" s="129">
        <f>G158/D157</f>
        <v>0</v>
      </c>
      <c r="H160" s="129">
        <f>H158/G157</f>
        <v>2.5448050935917239E-2</v>
      </c>
      <c r="I160" s="129">
        <f>I158/H157</f>
        <v>2.4822695035460925E-2</v>
      </c>
      <c r="J160" s="130" t="s">
        <v>147</v>
      </c>
    </row>
  </sheetData>
  <mergeCells count="2">
    <mergeCell ref="D82:E82"/>
    <mergeCell ref="D1:E1"/>
  </mergeCells>
  <printOptions gridLines="1"/>
  <pageMargins left="0.25" right="0.25" top="0.75" bottom="0.75" header="0.3" footer="0.3"/>
  <pageSetup paperSize="9" scale="76" fitToHeight="0" orientation="landscape" horizontalDpi="4294967293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22A3B-9C62-4F4E-AC67-CE3FC683A6DA}">
  <dimension ref="A3:B25"/>
  <sheetViews>
    <sheetView tabSelected="1" workbookViewId="0">
      <selection activeCell="B25" sqref="A1:XFD1048576"/>
    </sheetView>
  </sheetViews>
  <sheetFormatPr defaultRowHeight="15" x14ac:dyDescent="0.25"/>
  <cols>
    <col min="1" max="1" width="9.140625" style="143"/>
    <col min="2" max="2" width="110.5703125" style="143" customWidth="1"/>
    <col min="3" max="16384" width="9.140625" style="143"/>
  </cols>
  <sheetData>
    <row r="3" spans="1:2" x14ac:dyDescent="0.25">
      <c r="A3" s="143">
        <v>1</v>
      </c>
      <c r="B3" s="143" t="s">
        <v>148</v>
      </c>
    </row>
    <row r="4" spans="1:2" x14ac:dyDescent="0.25">
      <c r="A4" s="143">
        <v>2</v>
      </c>
      <c r="B4" s="143" t="s">
        <v>149</v>
      </c>
    </row>
    <row r="5" spans="1:2" x14ac:dyDescent="0.25">
      <c r="A5" s="143">
        <v>3</v>
      </c>
      <c r="B5" s="143" t="s">
        <v>150</v>
      </c>
    </row>
    <row r="6" spans="1:2" x14ac:dyDescent="0.25">
      <c r="A6" s="143">
        <v>4</v>
      </c>
      <c r="B6" s="143" t="s">
        <v>151</v>
      </c>
    </row>
    <row r="7" spans="1:2" x14ac:dyDescent="0.25">
      <c r="A7" s="143">
        <v>5</v>
      </c>
      <c r="B7" s="143" t="s">
        <v>152</v>
      </c>
    </row>
    <row r="10" spans="1:2" ht="30" x14ac:dyDescent="0.25">
      <c r="A10" s="143" t="s">
        <v>159</v>
      </c>
    </row>
    <row r="12" spans="1:2" x14ac:dyDescent="0.25">
      <c r="A12" s="143">
        <v>1</v>
      </c>
      <c r="B12" s="143" t="s">
        <v>160</v>
      </c>
    </row>
    <row r="13" spans="1:2" x14ac:dyDescent="0.25">
      <c r="A13" s="143">
        <v>2</v>
      </c>
      <c r="B13" s="143" t="s">
        <v>161</v>
      </c>
    </row>
    <row r="14" spans="1:2" x14ac:dyDescent="0.25">
      <c r="A14" s="143">
        <v>3</v>
      </c>
      <c r="B14" s="143" t="s">
        <v>163</v>
      </c>
    </row>
    <row r="16" spans="1:2" x14ac:dyDescent="0.25">
      <c r="A16" s="143" t="s">
        <v>165</v>
      </c>
    </row>
    <row r="17" spans="1:2" x14ac:dyDescent="0.25">
      <c r="A17" s="143">
        <v>1</v>
      </c>
      <c r="B17" s="143" t="s">
        <v>172</v>
      </c>
    </row>
    <row r="19" spans="1:2" x14ac:dyDescent="0.25">
      <c r="A19" s="143" t="s">
        <v>166</v>
      </c>
    </row>
    <row r="20" spans="1:2" x14ac:dyDescent="0.25">
      <c r="A20" s="143">
        <v>1</v>
      </c>
      <c r="B20" s="143" t="s">
        <v>167</v>
      </c>
    </row>
    <row r="22" spans="1:2" x14ac:dyDescent="0.25">
      <c r="A22" s="143" t="s">
        <v>170</v>
      </c>
    </row>
    <row r="23" spans="1:2" x14ac:dyDescent="0.25">
      <c r="A23" s="143">
        <v>1</v>
      </c>
      <c r="B23" s="143" t="s">
        <v>171</v>
      </c>
    </row>
    <row r="24" spans="1:2" x14ac:dyDescent="0.25">
      <c r="A24" s="143">
        <v>2</v>
      </c>
      <c r="B24" s="143" t="s">
        <v>173</v>
      </c>
    </row>
    <row r="25" spans="1:2" ht="30" x14ac:dyDescent="0.25">
      <c r="A25" s="143">
        <v>3</v>
      </c>
      <c r="B25" s="143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notes</vt:lpstr>
      <vt:lpstr>draft  nov 24</vt:lpstr>
      <vt:lpstr>draft  2026 27 budget proposal</vt:lpstr>
      <vt:lpstr>working notes 26 27</vt:lpstr>
      <vt:lpstr>'draft  nov 24'!Print_Area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</dc:creator>
  <cp:keywords/>
  <dc:description/>
  <cp:lastModifiedBy>jon Reardon-Smith</cp:lastModifiedBy>
  <cp:revision/>
  <cp:lastPrinted>2026-01-18T22:32:00Z</cp:lastPrinted>
  <dcterms:created xsi:type="dcterms:W3CDTF">2020-12-29T14:55:28Z</dcterms:created>
  <dcterms:modified xsi:type="dcterms:W3CDTF">2026-01-19T16:03:05Z</dcterms:modified>
  <cp:category/>
  <cp:contentStatus/>
</cp:coreProperties>
</file>