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0730" windowHeight="11760"/>
  </bookViews>
  <sheets>
    <sheet name="Current Account" sheetId="1" r:id="rId1"/>
    <sheet name="Bank Reconciliation" sheetId="2" r:id="rId2"/>
    <sheet name="Variances" sheetId="3" r:id="rId3"/>
    <sheet name="List of Payments" sheetId="4" r:id="rId4"/>
    <sheet name="VAT Reclaim" sheetId="5" r:id="rId5"/>
    <sheet name="Budget 2020-21" sheetId="6" r:id="rId6"/>
    <sheet name="Financial Statement April 2023" sheetId="22" r:id="rId7"/>
    <sheet name="Financial Statement May 2023" sheetId="9" r:id="rId8"/>
    <sheet name="Financial Statement June 2023" sheetId="10" r:id="rId9"/>
    <sheet name="Financial Statement August 2023" sheetId="11" r:id="rId10"/>
    <sheet name="Financial Statement Sept 2023" sheetId="12" r:id="rId11"/>
    <sheet name="Budget over Expenditure 23-24" sheetId="7" r:id="rId12"/>
    <sheet name="Budget 2022-23" sheetId="13" r:id="rId13"/>
    <sheet name="Financial Statement Oct 2020" sheetId="14" r:id="rId14"/>
    <sheet name="Financial Statement Dec 2020" sheetId="15" r:id="rId15"/>
    <sheet name="Sheet2" sheetId="16" r:id="rId16"/>
    <sheet name="Sheet1" sheetId="17" r:id="rId17"/>
    <sheet name="Sheet3" sheetId="18" r:id="rId18"/>
    <sheet name="Sheet4" sheetId="19" r:id="rId19"/>
    <sheet name="Sheet5" sheetId="20" r:id="rId20"/>
    <sheet name="Sheet6" sheetId="21" r:id="rId21"/>
    <sheet name="Budget 2425" sheetId="23" r:id="rId22"/>
    <sheet name="Sheet7" sheetId="24" r:id="rId23"/>
    <sheet name="Sheet8" sheetId="25" r:id="rId24"/>
    <sheet name="Sheet9" sheetId="26" r:id="rId25"/>
    <sheet name="Sheet10" sheetId="27" r:id="rId26"/>
    <sheet name="Sheet11" sheetId="28" r:id="rId27"/>
    <sheet name="Sheet12" sheetId="29" r:id="rId28"/>
    <sheet name="Sheet13" sheetId="30" r:id="rId29"/>
    <sheet name="Sheet14" sheetId="31" r:id="rId30"/>
    <sheet name="Sheet15" sheetId="32" r:id="rId31"/>
    <sheet name="Sheet16" sheetId="33" r:id="rId32"/>
    <sheet name="Sheet17" sheetId="34" r:id="rId33"/>
  </sheets>
  <externalReferences>
    <externalReference r:id="rId34"/>
  </externalReferences>
  <definedNames>
    <definedName name="_xlnm.Print_Area" localSheetId="1">'Bank Reconciliation'!$A$1:$G$47</definedName>
    <definedName name="_xlnm.Print_Area" localSheetId="12">'Budget 2022-23'!$A$1:$E$24</definedName>
    <definedName name="_xlnm.Print_Area" localSheetId="21">'Budget 2425'!$A$1:$K$33</definedName>
    <definedName name="_xlnm.Print_Area" localSheetId="11">'Budget over Expenditure 23-24'!$A$2:$Q$24</definedName>
    <definedName name="_xlnm.Print_Area" localSheetId="0">'Current Account'!$A$1:$L$65</definedName>
    <definedName name="_xlnm.Print_Area" localSheetId="6">'Financial Statement April 2023'!$A$1:$C$37</definedName>
    <definedName name="_xlnm.Print_Area" localSheetId="9">'Financial Statement August 2023'!$A$2:$C$50</definedName>
    <definedName name="_xlnm.Print_Area" localSheetId="14">'Financial Statement Dec 2020'!$A$1:$C$55</definedName>
    <definedName name="_xlnm.Print_Area" localSheetId="8">'Financial Statement June 2023'!$A$1:$C$42</definedName>
    <definedName name="_xlnm.Print_Area" localSheetId="7">'Financial Statement May 2023'!$A$1:$C$43</definedName>
    <definedName name="_xlnm.Print_Area" localSheetId="13">'Financial Statement Oct 2020'!$A$1:$C$45</definedName>
    <definedName name="_xlnm.Print_Area" localSheetId="10">'Financial Statement Sept 2023'!$A$1:$C$44</definedName>
    <definedName name="_xlnm.Print_Area" localSheetId="3">'List of Payments'!$A$1:$F$62</definedName>
    <definedName name="_xlnm.Print_Area" localSheetId="16">Sheet1!$A$1:$C$57</definedName>
    <definedName name="_xlnm.Print_Area" localSheetId="25">Sheet10!$A$1:$G$25</definedName>
    <definedName name="_xlnm.Print_Area" localSheetId="26">Sheet11!$A$1:$G$24</definedName>
    <definedName name="_xlnm.Print_Area" localSheetId="27">Sheet12!$A$1:$C$50</definedName>
    <definedName name="_xlnm.Print_Area" localSheetId="28">Sheet13!$A$1:$C$48</definedName>
    <definedName name="_xlnm.Print_Area" localSheetId="29">Sheet14!$A$1:$G$21</definedName>
    <definedName name="_xlnm.Print_Area" localSheetId="30">Sheet15!$A$1:$C$48</definedName>
    <definedName name="_xlnm.Print_Area" localSheetId="31">Sheet16!$A$1:$G$24</definedName>
    <definedName name="_xlnm.Print_Area" localSheetId="32">Sheet17!$A$1:$G$21</definedName>
    <definedName name="_xlnm.Print_Area" localSheetId="15">Sheet2!$A$1:$C$56</definedName>
    <definedName name="_xlnm.Print_Area" localSheetId="17">Sheet3!$A$1:$C$55</definedName>
    <definedName name="_xlnm.Print_Area" localSheetId="22">Sheet7!$A$1:$G$32</definedName>
    <definedName name="_xlnm.Print_Area" localSheetId="23">Sheet8!$A$1:$G$23</definedName>
    <definedName name="_xlnm.Print_Area" localSheetId="2">Variances!$A$1:$N$28</definedName>
    <definedName name="_xlnm.Print_Area" localSheetId="4">'VAT Reclaim'!$A$1:$E$15</definedName>
  </definedNames>
  <calcPr calcId="125725"/>
</workbook>
</file>

<file path=xl/calcChain.xml><?xml version="1.0" encoding="utf-8"?>
<calcChain xmlns="http://schemas.openxmlformats.org/spreadsheetml/2006/main">
  <c r="D61" i="4"/>
  <c r="F58"/>
  <c r="F57"/>
  <c r="F56"/>
  <c r="F55"/>
  <c r="E55"/>
  <c r="F54"/>
  <c r="F53"/>
  <c r="F52"/>
  <c r="F51"/>
  <c r="F50"/>
  <c r="F49"/>
  <c r="F48"/>
  <c r="F47"/>
  <c r="F46"/>
  <c r="F45"/>
  <c r="F44"/>
  <c r="E43"/>
  <c r="F43" s="1"/>
  <c r="F42"/>
  <c r="F41"/>
  <c r="F40"/>
  <c r="F39"/>
  <c r="F38"/>
  <c r="F37"/>
  <c r="F36"/>
  <c r="F35"/>
  <c r="F34"/>
  <c r="F33"/>
  <c r="F32"/>
  <c r="F31"/>
  <c r="F30"/>
  <c r="E29"/>
  <c r="F29" s="1"/>
  <c r="F28"/>
  <c r="F27"/>
  <c r="F26"/>
  <c r="F25"/>
  <c r="F24"/>
  <c r="F23"/>
  <c r="E22"/>
  <c r="F22" s="1"/>
  <c r="E21"/>
  <c r="F21" s="1"/>
  <c r="F20"/>
  <c r="F19"/>
  <c r="F18"/>
  <c r="F17"/>
  <c r="F16"/>
  <c r="F15"/>
  <c r="F14"/>
  <c r="E13"/>
  <c r="F13" s="1"/>
  <c r="F12"/>
  <c r="F11"/>
  <c r="F10"/>
  <c r="F9"/>
  <c r="F8"/>
  <c r="F7"/>
  <c r="F6"/>
  <c r="F5"/>
  <c r="E5"/>
  <c r="F4"/>
  <c r="F3"/>
  <c r="F2"/>
  <c r="E15" i="5"/>
  <c r="E9"/>
  <c r="G11" i="34"/>
  <c r="G10"/>
  <c r="G9"/>
  <c r="G40" i="2"/>
  <c r="F19" i="3"/>
  <c r="J59" i="1"/>
  <c r="J47"/>
  <c r="J33"/>
  <c r="J26"/>
  <c r="J25"/>
  <c r="J9"/>
  <c r="D6"/>
  <c r="E61" i="4" l="1"/>
  <c r="F61" s="1"/>
  <c r="N14" i="7"/>
  <c r="P14"/>
  <c r="G14" i="33"/>
  <c r="G15"/>
  <c r="G12"/>
  <c r="G13"/>
  <c r="G11"/>
  <c r="G9"/>
  <c r="B30" i="32"/>
  <c r="B17"/>
  <c r="B16"/>
  <c r="B15"/>
  <c r="C42"/>
  <c r="C47" s="1"/>
  <c r="B34"/>
  <c r="B27"/>
  <c r="B26"/>
  <c r="B25"/>
  <c r="B24"/>
  <c r="B22"/>
  <c r="B20"/>
  <c r="B31"/>
  <c r="B9"/>
  <c r="B8"/>
  <c r="B12" s="1"/>
  <c r="G11" i="31"/>
  <c r="G9"/>
  <c r="B30" i="30"/>
  <c r="B24"/>
  <c r="B17"/>
  <c r="B16"/>
  <c r="B15"/>
  <c r="C42"/>
  <c r="C47" s="1"/>
  <c r="B34"/>
  <c r="B27"/>
  <c r="B26"/>
  <c r="B25"/>
  <c r="B22"/>
  <c r="B20"/>
  <c r="B9"/>
  <c r="B8"/>
  <c r="G13" i="28"/>
  <c r="G14"/>
  <c r="J9" i="7"/>
  <c r="K9"/>
  <c r="B29" i="29"/>
  <c r="B17"/>
  <c r="B16"/>
  <c r="B15"/>
  <c r="B33"/>
  <c r="B27"/>
  <c r="B26"/>
  <c r="B25"/>
  <c r="B24"/>
  <c r="B22"/>
  <c r="B20"/>
  <c r="B9"/>
  <c r="B8"/>
  <c r="C42"/>
  <c r="C48" s="1"/>
  <c r="G12" i="28"/>
  <c r="G11"/>
  <c r="G10"/>
  <c r="G9"/>
  <c r="G14" i="27"/>
  <c r="G13"/>
  <c r="G12"/>
  <c r="G11"/>
  <c r="G10"/>
  <c r="G9"/>
  <c r="C26" i="7"/>
  <c r="J6"/>
  <c r="D29"/>
  <c r="C29"/>
  <c r="C28"/>
  <c r="E26"/>
  <c r="B27" i="14"/>
  <c r="B25"/>
  <c r="B28"/>
  <c r="B22"/>
  <c r="B17"/>
  <c r="B16"/>
  <c r="B15"/>
  <c r="B38"/>
  <c r="C40" s="1"/>
  <c r="C44" s="1"/>
  <c r="B32"/>
  <c r="B26"/>
  <c r="B24"/>
  <c r="B20"/>
  <c r="B9"/>
  <c r="B8"/>
  <c r="B12" s="1"/>
  <c r="B35" i="32" l="1"/>
  <c r="C36" s="1"/>
  <c r="B12" i="30"/>
  <c r="B31"/>
  <c r="B35" s="1"/>
  <c r="C36" s="1"/>
  <c r="B30" i="29"/>
  <c r="B12"/>
  <c r="B29" i="14"/>
  <c r="G13" i="26"/>
  <c r="G12"/>
  <c r="G11"/>
  <c r="G10"/>
  <c r="G9"/>
  <c r="F9" i="7"/>
  <c r="B17" i="12" s="1"/>
  <c r="B30"/>
  <c r="B36"/>
  <c r="B26"/>
  <c r="B25"/>
  <c r="B24"/>
  <c r="B20"/>
  <c r="B16"/>
  <c r="B15"/>
  <c r="B9"/>
  <c r="B8"/>
  <c r="C38"/>
  <c r="C42" s="1"/>
  <c r="B12"/>
  <c r="B34" i="10"/>
  <c r="B24"/>
  <c r="B17"/>
  <c r="B16"/>
  <c r="C36"/>
  <c r="C42" s="1"/>
  <c r="B25"/>
  <c r="B12"/>
  <c r="G15" i="25"/>
  <c r="G14"/>
  <c r="G13"/>
  <c r="G12"/>
  <c r="G11"/>
  <c r="G10"/>
  <c r="G9"/>
  <c r="G10" i="24"/>
  <c r="G11"/>
  <c r="G14"/>
  <c r="G15"/>
  <c r="G16"/>
  <c r="F17"/>
  <c r="G17"/>
  <c r="G19"/>
  <c r="G20"/>
  <c r="G21"/>
  <c r="E22"/>
  <c r="G22" s="1"/>
  <c r="G23"/>
  <c r="G12"/>
  <c r="G13"/>
  <c r="G9"/>
  <c r="B34" i="9"/>
  <c r="B24"/>
  <c r="B17"/>
  <c r="B16"/>
  <c r="O15" i="7"/>
  <c r="P15" s="1"/>
  <c r="B22"/>
  <c r="D62" i="4"/>
  <c r="E62"/>
  <c r="D21" i="3"/>
  <c r="B34" i="29" l="1"/>
  <c r="C35" s="1"/>
  <c r="B33" i="14"/>
  <c r="C34" s="1"/>
  <c r="B27" i="12"/>
  <c r="B31" s="1"/>
  <c r="C32" s="1"/>
  <c r="B29" i="10"/>
  <c r="C30" s="1"/>
  <c r="F62" i="4"/>
  <c r="B13" i="18" l="1"/>
  <c r="B9"/>
  <c r="N25" i="7"/>
  <c r="B36" i="18"/>
  <c r="B22"/>
  <c r="B17"/>
  <c r="B19"/>
  <c r="B32"/>
  <c r="C52"/>
  <c r="C58" s="1"/>
  <c r="B44"/>
  <c r="B40"/>
  <c r="B28"/>
  <c r="B23"/>
  <c r="B20"/>
  <c r="B18"/>
  <c r="B14"/>
  <c r="B8"/>
  <c r="K6" i="1"/>
  <c r="K7"/>
  <c r="K8"/>
  <c r="K9"/>
  <c r="K10"/>
  <c r="K11"/>
  <c r="K12"/>
  <c r="K13"/>
  <c r="K14"/>
  <c r="K15"/>
  <c r="K16"/>
  <c r="K18"/>
  <c r="K19"/>
  <c r="K20"/>
  <c r="K21"/>
  <c r="K22"/>
  <c r="K23"/>
  <c r="K25"/>
  <c r="K26"/>
  <c r="K27"/>
  <c r="K28"/>
  <c r="K29"/>
  <c r="K30"/>
  <c r="K31"/>
  <c r="K32"/>
  <c r="K33"/>
  <c r="K35"/>
  <c r="K36"/>
  <c r="K38"/>
  <c r="K39"/>
  <c r="K40"/>
  <c r="K41"/>
  <c r="K42"/>
  <c r="K43"/>
  <c r="K44"/>
  <c r="K45"/>
  <c r="K46"/>
  <c r="K47"/>
  <c r="K48"/>
  <c r="K49"/>
  <c r="K50"/>
  <c r="K51"/>
  <c r="K52"/>
  <c r="K53"/>
  <c r="K54"/>
  <c r="K55"/>
  <c r="K56"/>
  <c r="K57"/>
  <c r="K58"/>
  <c r="K60"/>
  <c r="K61"/>
  <c r="K62"/>
  <c r="J17"/>
  <c r="K17" s="1"/>
  <c r="K34"/>
  <c r="K37"/>
  <c r="K59"/>
  <c r="B35" i="17"/>
  <c r="B21"/>
  <c r="B18"/>
  <c r="B17"/>
  <c r="B16"/>
  <c r="C50"/>
  <c r="C56" s="1"/>
  <c r="B42"/>
  <c r="B38"/>
  <c r="B27"/>
  <c r="B22"/>
  <c r="B19"/>
  <c r="B12"/>
  <c r="B9"/>
  <c r="B8"/>
  <c r="B13" s="1"/>
  <c r="I65" i="1" l="1"/>
  <c r="J65"/>
  <c r="B21" i="16"/>
  <c r="B16"/>
  <c r="B18"/>
  <c r="B17"/>
  <c r="C49"/>
  <c r="C55" s="1"/>
  <c r="B41"/>
  <c r="B37"/>
  <c r="B27"/>
  <c r="B22"/>
  <c r="B19"/>
  <c r="B12"/>
  <c r="B9"/>
  <c r="B8"/>
  <c r="B13" s="1"/>
  <c r="B18" i="15"/>
  <c r="B17"/>
  <c r="B16"/>
  <c r="C48"/>
  <c r="C54" s="1"/>
  <c r="B40"/>
  <c r="B36"/>
  <c r="B27"/>
  <c r="B25"/>
  <c r="B22"/>
  <c r="B19"/>
  <c r="B12"/>
  <c r="B9"/>
  <c r="B13" s="1"/>
  <c r="B8"/>
  <c r="B33" i="23"/>
  <c r="B31"/>
  <c r="G30"/>
  <c r="K30" s="1"/>
  <c r="D30"/>
  <c r="F23"/>
  <c r="E23"/>
  <c r="D23"/>
  <c r="B9"/>
  <c r="C9" s="1"/>
  <c r="C23" s="1"/>
  <c r="B5"/>
  <c r="B13" i="11"/>
  <c r="B17"/>
  <c r="B31"/>
  <c r="C43"/>
  <c r="C49" s="1"/>
  <c r="B35"/>
  <c r="B14"/>
  <c r="B10"/>
  <c r="C36" i="9"/>
  <c r="B25"/>
  <c r="B12"/>
  <c r="B28" i="22"/>
  <c r="B16"/>
  <c r="B19" s="1"/>
  <c r="B11"/>
  <c r="F9" i="3"/>
  <c r="B20" i="17" l="1"/>
  <c r="B39" s="1"/>
  <c r="B43" s="1"/>
  <c r="C44" s="1"/>
  <c r="B21" i="18"/>
  <c r="B41" s="1"/>
  <c r="B45" s="1"/>
  <c r="C46" s="1"/>
  <c r="B19" i="11"/>
  <c r="B32" s="1"/>
  <c r="B20" i="15"/>
  <c r="B37" s="1"/>
  <c r="B41" s="1"/>
  <c r="C42" s="1"/>
  <c r="B20" i="16"/>
  <c r="B38" s="1"/>
  <c r="B42" s="1"/>
  <c r="C43" s="1"/>
  <c r="E30" i="23"/>
  <c r="G31"/>
  <c r="J31"/>
  <c r="H31"/>
  <c r="F31"/>
  <c r="D31"/>
  <c r="K31"/>
  <c r="I31"/>
  <c r="E31"/>
  <c r="F30"/>
  <c r="H30"/>
  <c r="J30"/>
  <c r="I30"/>
  <c r="B23"/>
  <c r="B29" i="9"/>
  <c r="C30" s="1"/>
  <c r="B23" i="22"/>
  <c r="C24" s="1"/>
  <c r="C30" s="1"/>
  <c r="C36" s="1"/>
  <c r="G33" i="21"/>
  <c r="K33" s="1"/>
  <c r="E33"/>
  <c r="F23"/>
  <c r="B34" s="1"/>
  <c r="G34" s="1"/>
  <c r="D23"/>
  <c r="E16"/>
  <c r="E14"/>
  <c r="E11"/>
  <c r="E10"/>
  <c r="G9"/>
  <c r="H9" s="1"/>
  <c r="H23" s="1"/>
  <c r="B36" s="1"/>
  <c r="G36" s="1"/>
  <c r="B9"/>
  <c r="C9" s="1"/>
  <c r="C23" s="1"/>
  <c r="E7"/>
  <c r="G6"/>
  <c r="G23" s="1"/>
  <c r="B35" s="1"/>
  <c r="G35" s="1"/>
  <c r="E5"/>
  <c r="B5"/>
  <c r="B23" s="1"/>
  <c r="B36" i="11" l="1"/>
  <c r="C37" s="1"/>
  <c r="J36" i="21"/>
  <c r="H36"/>
  <c r="F36"/>
  <c r="D36"/>
  <c r="K36"/>
  <c r="I36"/>
  <c r="E36"/>
  <c r="J34"/>
  <c r="H34"/>
  <c r="F34"/>
  <c r="D34"/>
  <c r="K34"/>
  <c r="I34"/>
  <c r="E34"/>
  <c r="K35"/>
  <c r="I35"/>
  <c r="E35"/>
  <c r="J35"/>
  <c r="H35"/>
  <c r="F35"/>
  <c r="D35"/>
  <c r="D33"/>
  <c r="F33"/>
  <c r="H33"/>
  <c r="J33"/>
  <c r="I33"/>
  <c r="E9" l="1"/>
  <c r="E23" s="1"/>
  <c r="C42" i="9" l="1"/>
  <c r="D23" i="13"/>
  <c r="J13" i="20"/>
  <c r="D2"/>
  <c r="L110"/>
  <c r="L116" s="1"/>
  <c r="D5"/>
  <c r="D3"/>
  <c r="I87"/>
  <c r="J87" s="1"/>
  <c r="J86"/>
  <c r="J85"/>
  <c r="J84"/>
  <c r="J83"/>
  <c r="J72"/>
  <c r="J71"/>
  <c r="J70"/>
  <c r="J69"/>
  <c r="J68"/>
  <c r="J67"/>
  <c r="J66"/>
  <c r="J65"/>
  <c r="J60"/>
  <c r="J59"/>
  <c r="J58"/>
  <c r="J57"/>
  <c r="J50"/>
  <c r="J49"/>
  <c r="J48"/>
  <c r="J47"/>
  <c r="J46"/>
  <c r="J37"/>
  <c r="J36"/>
  <c r="J35"/>
  <c r="J34"/>
  <c r="J33"/>
  <c r="J32"/>
  <c r="J31"/>
  <c r="J30"/>
  <c r="J29"/>
  <c r="J28"/>
  <c r="J17"/>
  <c r="J16"/>
  <c r="J15"/>
  <c r="J14"/>
  <c r="J5"/>
  <c r="J4"/>
  <c r="H3"/>
  <c r="J2"/>
  <c r="D14"/>
  <c r="J107"/>
  <c r="J105"/>
  <c r="J104"/>
  <c r="J103"/>
  <c r="I93"/>
  <c r="H93"/>
  <c r="J93" s="1"/>
  <c r="J92"/>
  <c r="J91"/>
  <c r="J90"/>
  <c r="J89"/>
  <c r="J88"/>
  <c r="J82"/>
  <c r="J81"/>
  <c r="J80"/>
  <c r="J79"/>
  <c r="J78"/>
  <c r="J77"/>
  <c r="J76"/>
  <c r="J75"/>
  <c r="J74"/>
  <c r="J73"/>
  <c r="J64"/>
  <c r="J63"/>
  <c r="J62"/>
  <c r="J61"/>
  <c r="J56"/>
  <c r="J55"/>
  <c r="J54"/>
  <c r="J53"/>
  <c r="J52"/>
  <c r="J51"/>
  <c r="J45"/>
  <c r="J44"/>
  <c r="J43"/>
  <c r="J42"/>
  <c r="J41"/>
  <c r="J40"/>
  <c r="J39"/>
  <c r="J38"/>
  <c r="J27"/>
  <c r="J26"/>
  <c r="J25"/>
  <c r="J24"/>
  <c r="J23"/>
  <c r="J22"/>
  <c r="I21"/>
  <c r="H21"/>
  <c r="J20"/>
  <c r="J19"/>
  <c r="J18"/>
  <c r="J12"/>
  <c r="J11"/>
  <c r="J10"/>
  <c r="I9"/>
  <c r="I109" s="1"/>
  <c r="H9"/>
  <c r="J8"/>
  <c r="J6"/>
  <c r="J3" l="1"/>
  <c r="H109"/>
  <c r="D108"/>
  <c r="D111"/>
  <c r="J109"/>
  <c r="J21"/>
  <c r="J9"/>
  <c r="J111" l="1"/>
  <c r="J112" s="1"/>
  <c r="O13" i="7" l="1"/>
  <c r="G38" i="17"/>
  <c r="J44"/>
  <c r="O4" i="7"/>
  <c r="Q4" s="1"/>
  <c r="I41" i="17" l="1"/>
  <c r="G41"/>
  <c r="K24" i="1"/>
  <c r="N58" i="19"/>
  <c r="I7"/>
  <c r="N30"/>
  <c r="N32" s="1"/>
  <c r="J49" i="11" l="1"/>
  <c r="E49"/>
  <c r="F49"/>
  <c r="F56" l="1"/>
  <c r="H56" s="1"/>
  <c r="H54" s="1"/>
  <c r="E22" i="7" l="1"/>
  <c r="F22"/>
  <c r="G22"/>
  <c r="H22"/>
  <c r="I22"/>
  <c r="J22"/>
  <c r="K22"/>
  <c r="L22"/>
  <c r="M22"/>
  <c r="N22"/>
  <c r="D22"/>
  <c r="B9" i="13" l="1"/>
  <c r="C9" s="1"/>
  <c r="B5"/>
  <c r="C23" l="1"/>
  <c r="B23"/>
  <c r="D65" i="1"/>
  <c r="O6" i="7"/>
  <c r="G42" i="2" l="1"/>
  <c r="K65" i="1"/>
  <c r="G44" i="2" l="1"/>
  <c r="G46" s="1"/>
  <c r="O10" i="7"/>
  <c r="O11"/>
  <c r="Q11" s="1"/>
  <c r="O12"/>
  <c r="Q12" s="1"/>
  <c r="Q13"/>
  <c r="O14"/>
  <c r="Q14" s="1"/>
  <c r="O16"/>
  <c r="Q16" s="1"/>
  <c r="O17"/>
  <c r="O18"/>
  <c r="O19"/>
  <c r="Q19" s="1"/>
  <c r="O20"/>
  <c r="P20" s="1"/>
  <c r="O21"/>
  <c r="O3"/>
  <c r="Q3" s="1"/>
  <c r="O5"/>
  <c r="O7"/>
  <c r="O8"/>
  <c r="Q8" s="1"/>
  <c r="C22"/>
  <c r="E4" i="6"/>
  <c r="E5" s="1"/>
  <c r="B8"/>
  <c r="B4"/>
  <c r="B23" s="1"/>
  <c r="E8"/>
  <c r="E9" s="1"/>
  <c r="E10" s="1"/>
  <c r="Q6" i="7"/>
  <c r="O9"/>
  <c r="Q18"/>
  <c r="Q20" l="1"/>
  <c r="Q10"/>
  <c r="P10"/>
  <c r="Q17"/>
  <c r="P17"/>
  <c r="P22" s="1"/>
  <c r="O22"/>
  <c r="O24" s="1"/>
  <c r="Q9"/>
  <c r="Q7"/>
  <c r="Q5"/>
  <c r="Q22" l="1"/>
  <c r="J28" i="3"/>
  <c r="I28"/>
  <c r="H28"/>
  <c r="L28" s="1"/>
  <c r="M28" s="1"/>
  <c r="G28"/>
  <c r="J26"/>
  <c r="I26"/>
  <c r="H26"/>
  <c r="L26" s="1"/>
  <c r="M26" s="1"/>
  <c r="G26"/>
  <c r="J17"/>
  <c r="I17"/>
  <c r="H17"/>
  <c r="L17" s="1"/>
  <c r="M17" s="1"/>
  <c r="G17"/>
  <c r="M9"/>
  <c r="G31" i="2"/>
  <c r="G28"/>
  <c r="D68" i="1"/>
  <c r="K67" s="1"/>
  <c r="G16" i="2" l="1"/>
  <c r="K26" i="3"/>
  <c r="K68" i="1"/>
  <c r="I11" i="3"/>
  <c r="I13"/>
  <c r="J13"/>
  <c r="G11"/>
  <c r="H13"/>
  <c r="K17"/>
  <c r="K28"/>
  <c r="H11"/>
  <c r="J11"/>
  <c r="G13"/>
  <c r="G33" i="2" l="1"/>
  <c r="L11" i="3"/>
  <c r="M11" s="1"/>
  <c r="K11"/>
  <c r="K13"/>
  <c r="L13"/>
  <c r="M13" s="1"/>
  <c r="J19" l="1"/>
  <c r="I19"/>
  <c r="G19"/>
  <c r="H19"/>
  <c r="J15"/>
  <c r="G15"/>
  <c r="I15"/>
  <c r="F21"/>
  <c r="H15"/>
  <c r="K15" l="1"/>
  <c r="L15"/>
  <c r="M15" s="1"/>
  <c r="M22"/>
  <c r="L22"/>
  <c r="F24"/>
  <c r="L19"/>
  <c r="M19" s="1"/>
  <c r="K19"/>
  <c r="I40" i="17" l="1"/>
  <c r="I42" s="1"/>
  <c r="I44" s="1"/>
  <c r="G40"/>
  <c r="G42" s="1"/>
  <c r="G44" s="1"/>
  <c r="L44" s="1"/>
  <c r="N60" i="20" l="1"/>
</calcChain>
</file>

<file path=xl/sharedStrings.xml><?xml version="1.0" encoding="utf-8"?>
<sst xmlns="http://schemas.openxmlformats.org/spreadsheetml/2006/main" count="1635" uniqueCount="400">
  <si>
    <t>RECEIPTS</t>
  </si>
  <si>
    <t>£</t>
  </si>
  <si>
    <t>PAYMENTS</t>
  </si>
  <si>
    <t>Brought forward</t>
  </si>
  <si>
    <t>HMRC</t>
  </si>
  <si>
    <t>Interest</t>
  </si>
  <si>
    <t>Internal Audit</t>
  </si>
  <si>
    <t>KALC Membership</t>
  </si>
  <si>
    <t>External Audit</t>
  </si>
  <si>
    <t>Insurance</t>
  </si>
  <si>
    <t>Mersham PCC</t>
  </si>
  <si>
    <t>Balance carried forward</t>
  </si>
  <si>
    <t>Date</t>
  </si>
  <si>
    <t>Paying in no:</t>
  </si>
  <si>
    <t>Cheque no:</t>
  </si>
  <si>
    <t>VAT</t>
  </si>
  <si>
    <t>Total</t>
  </si>
  <si>
    <t>Inv ref</t>
  </si>
  <si>
    <t>Bank reconciliation</t>
  </si>
  <si>
    <t xml:space="preserve">Name of smaller authority: </t>
  </si>
  <si>
    <t xml:space="preserve">County area (local councils and parish meetings only): </t>
  </si>
  <si>
    <t>Kent</t>
  </si>
  <si>
    <t>Prepared by (Name and Role):</t>
  </si>
  <si>
    <t>Tracey Block, RFO</t>
  </si>
  <si>
    <t>Date:</t>
  </si>
  <si>
    <t>account 1</t>
  </si>
  <si>
    <t>Petty cash float (if applicable)</t>
  </si>
  <si>
    <t>[add more lines if necessary]</t>
  </si>
  <si>
    <t>Explanation of variances</t>
  </si>
  <si>
    <r>
      <t>County area (local councils and parish meetings only):</t>
    </r>
    <r>
      <rPr>
        <b/>
        <sz val="8"/>
        <color indexed="8"/>
        <rFont val="Arial"/>
        <family val="2"/>
      </rPr>
      <t xml:space="preserve"> </t>
    </r>
  </si>
  <si>
    <r>
      <t xml:space="preserve">Insert figures from Section 1 of the AGAR in all </t>
    </r>
    <r>
      <rPr>
        <b/>
        <u/>
        <sz val="10"/>
        <color indexed="62"/>
        <rFont val="Arial"/>
        <family val="2"/>
      </rPr>
      <t>Blue</t>
    </r>
    <r>
      <rPr>
        <b/>
        <sz val="10"/>
        <color indexed="10"/>
        <rFont val="Arial"/>
        <family val="2"/>
      </rPr>
      <t xml:space="preserve"> highlighted boxes </t>
    </r>
  </si>
  <si>
    <r>
      <t xml:space="preserve">Next, please provide full explanations, including numerical values, for the following that will be flagged in the green boxes where relevant:
</t>
    </r>
    <r>
      <rPr>
        <sz val="10"/>
        <color indexed="8"/>
        <rFont val="Arial"/>
        <family val="2"/>
      </rPr>
      <t xml:space="preserve">• variances of more than 15% between totals for individual boxes (except variances of less than £200); 
• a breakdown of approved reserves on the next tab if the total reserves (Box 7) figure is more than twice the annual precept/rates &amp; levies value (Box 2).
</t>
    </r>
  </si>
  <si>
    <t>Variance</t>
  </si>
  <si>
    <t>Explanation Required?</t>
  </si>
  <si>
    <r>
      <t xml:space="preserve">Explanation from smaller authority </t>
    </r>
    <r>
      <rPr>
        <b/>
        <u/>
        <sz val="11"/>
        <color indexed="8"/>
        <rFont val="Arial"/>
        <family val="2"/>
      </rPr>
      <t>(must include narrative and supporting figures)</t>
    </r>
  </si>
  <si>
    <t>%</t>
  </si>
  <si>
    <t>1 Balances Brought Forward</t>
  </si>
  <si>
    <t>2 Precept or Rates and Levies</t>
  </si>
  <si>
    <t>3 Total Other Receipts</t>
  </si>
  <si>
    <t>4 Staff Costs</t>
  </si>
  <si>
    <t>5 Loan Interest/Capital Repayment</t>
  </si>
  <si>
    <t>6 All Other Payments</t>
  </si>
  <si>
    <t>7 Balances Carried Forward</t>
  </si>
  <si>
    <t>VARIANCE EXPLANATION NOT REQUIRED</t>
  </si>
  <si>
    <t>8 Total Cash and Short Term Investments</t>
  </si>
  <si>
    <t>9 Total Fixed Assets plus Other Long Term Investments and Assets</t>
  </si>
  <si>
    <t>10 Total Borrowings</t>
  </si>
  <si>
    <t>Cheque no.</t>
  </si>
  <si>
    <t>Payee</t>
  </si>
  <si>
    <t>Description</t>
  </si>
  <si>
    <t>Value</t>
  </si>
  <si>
    <t>ACRK</t>
  </si>
  <si>
    <t>date of invoices</t>
  </si>
  <si>
    <t>Supplier's VAT registration numbers</t>
  </si>
  <si>
    <t>A brief descriptions of the goods or services supplied</t>
  </si>
  <si>
    <t>The organisation receiving services</t>
  </si>
  <si>
    <t>Amount of VAT paid</t>
  </si>
  <si>
    <t>Membership to Kent Association of Local Councils</t>
  </si>
  <si>
    <t>Notes</t>
  </si>
  <si>
    <t>2020/21</t>
  </si>
  <si>
    <t>Working from home allowance</t>
  </si>
  <si>
    <t>£15 per month working from home allowance</t>
  </si>
  <si>
    <t>Clerks Wages (before tax and NI applied)</t>
  </si>
  <si>
    <t>Chairman's Allowance</t>
  </si>
  <si>
    <t>Website</t>
  </si>
  <si>
    <t>Opening Balance</t>
  </si>
  <si>
    <t>Parish Precept</t>
  </si>
  <si>
    <t>Council Tax Grant</t>
  </si>
  <si>
    <t>Concurrent Grant</t>
  </si>
  <si>
    <t>Other income</t>
  </si>
  <si>
    <t>VAT to be reclaimed</t>
  </si>
  <si>
    <t>April</t>
  </si>
  <si>
    <t>May</t>
  </si>
  <si>
    <t>June</t>
  </si>
  <si>
    <t>July</t>
  </si>
  <si>
    <t>August</t>
  </si>
  <si>
    <t>September</t>
  </si>
  <si>
    <t>October</t>
  </si>
  <si>
    <t>November</t>
  </si>
  <si>
    <t>December</t>
  </si>
  <si>
    <t>January</t>
  </si>
  <si>
    <t>February</t>
  </si>
  <si>
    <t>March</t>
  </si>
  <si>
    <t>Excess</t>
  </si>
  <si>
    <t xml:space="preserve"> Financial statements</t>
  </si>
  <si>
    <t>Receipts/Payments Statement</t>
  </si>
  <si>
    <t>Receipts</t>
  </si>
  <si>
    <t>Less Payments</t>
  </si>
  <si>
    <t>Working From Home</t>
  </si>
  <si>
    <t>T Block</t>
  </si>
  <si>
    <t>Reserves</t>
  </si>
  <si>
    <t>Represented by:</t>
  </si>
  <si>
    <t xml:space="preserve">Bank current a/c balance                                          </t>
  </si>
  <si>
    <t xml:space="preserve">Less unpresented cheques                </t>
  </si>
  <si>
    <t>Mersham</t>
  </si>
  <si>
    <t>The Villager</t>
  </si>
  <si>
    <t>PCC - Hall Hire use and donation to The Villager</t>
  </si>
  <si>
    <t>Wages for I King</t>
  </si>
  <si>
    <t>12 payments plus £40 bonus</t>
  </si>
  <si>
    <t>Essential for all PCs</t>
  </si>
  <si>
    <t>6 hours per week @ £14.76 per hour plus travel allowance</t>
  </si>
  <si>
    <t>allowed for a small increase</t>
  </si>
  <si>
    <t>Caretaker Scheme</t>
  </si>
  <si>
    <t>quoted £7364.40 + allowance for unforeseen items</t>
  </si>
  <si>
    <t>Kent Playing Fields</t>
  </si>
  <si>
    <t>Local Council Insurance required (ie. Covers assets, Fidelity guarantee, employers liability etc.)</t>
  </si>
  <si>
    <t>JPF</t>
  </si>
  <si>
    <t>allowed for new play equipment</t>
  </si>
  <si>
    <t>Miscellaneous (includes dog poo bin, EDF Energy, bank, spacework, title plans, laptop, photocopying and office expenses)</t>
  </si>
  <si>
    <t>Unipar for speed sign</t>
  </si>
  <si>
    <t>contingency towards replacement</t>
  </si>
  <si>
    <t>Village Fete Committee</t>
  </si>
  <si>
    <t>Bi-annual event @ £250/ annum</t>
  </si>
  <si>
    <t>Meeting room hire</t>
  </si>
  <si>
    <t>Village Entertainment - VE day 75</t>
  </si>
  <si>
    <t>Mersham Parish Council</t>
  </si>
  <si>
    <t>End of Year Accounts for Mersham Parish Council - current account</t>
  </si>
  <si>
    <t>I King</t>
  </si>
  <si>
    <t>Clerks Wages</t>
  </si>
  <si>
    <t>Precept</t>
  </si>
  <si>
    <t>Kent Association of Local Councils</t>
  </si>
  <si>
    <t>Came and Co</t>
  </si>
  <si>
    <t>Village Caretaker</t>
  </si>
  <si>
    <t>P Turley</t>
  </si>
  <si>
    <t>2021/22</t>
  </si>
  <si>
    <t>6 hours per week plus travel allowance - allow for 2% pay increase</t>
  </si>
  <si>
    <t>includes allowance for unforeseen items</t>
  </si>
  <si>
    <t xml:space="preserve">Village Entertainment </t>
  </si>
  <si>
    <t>Highways Plan</t>
  </si>
  <si>
    <t>JRB Enterprise Ltd</t>
  </si>
  <si>
    <t>Play Safely Ltd</t>
  </si>
  <si>
    <t>Mersham PCC for hall use</t>
  </si>
  <si>
    <t>Highways Improvement Plan</t>
  </si>
  <si>
    <t>Mersham Sports Club</t>
  </si>
  <si>
    <t>S Lister</t>
  </si>
  <si>
    <t>Village Hall Grant</t>
  </si>
  <si>
    <t>Village Hall</t>
  </si>
  <si>
    <t>PKF Littlejohn LLP</t>
  </si>
  <si>
    <t>Lushland Ltd</t>
  </si>
  <si>
    <t>s</t>
  </si>
  <si>
    <t>m</t>
  </si>
  <si>
    <t>Vat Reclaim</t>
  </si>
  <si>
    <t>Grant towards KWT</t>
  </si>
  <si>
    <t>Grant for Speed sign</t>
  </si>
  <si>
    <t>Mersham PCC for The Villager</t>
  </si>
  <si>
    <t>Mersham Village Hall</t>
  </si>
  <si>
    <t>S Ross</t>
  </si>
  <si>
    <t>KWT</t>
  </si>
  <si>
    <t>PKF Littlejohn</t>
  </si>
  <si>
    <t>Kent County Council</t>
  </si>
  <si>
    <t>Litterpicker equipment</t>
  </si>
  <si>
    <t>T Gardener Ltd</t>
  </si>
  <si>
    <t>Grants</t>
  </si>
  <si>
    <t>Uncleared cheques</t>
  </si>
  <si>
    <t>T Saint</t>
  </si>
  <si>
    <t>Chamber of Commerce</t>
  </si>
  <si>
    <t>KCC</t>
  </si>
  <si>
    <t>First Rescue Supplies Ltd</t>
  </si>
  <si>
    <t>2022/23</t>
  </si>
  <si>
    <t>PCC - Donation to The Villager</t>
  </si>
  <si>
    <t>Room hire</t>
  </si>
  <si>
    <t>PCC - Hall Hire use</t>
  </si>
  <si>
    <t>Miscellaneous (litterpicking equipment, photocopying, dog waste bags)</t>
  </si>
  <si>
    <t>2023/24</t>
  </si>
  <si>
    <t>£18 per month working from home allowance</t>
  </si>
  <si>
    <t>Actual</t>
  </si>
  <si>
    <t>VAT Reclaim</t>
  </si>
  <si>
    <t>Option A</t>
  </si>
  <si>
    <t>Option B</t>
  </si>
  <si>
    <t>Option C</t>
  </si>
  <si>
    <t>will reduce as it is linked to the number of properties</t>
  </si>
  <si>
    <t>I have provided 3 options.</t>
  </si>
  <si>
    <t>All amounts highlighted in yellow are committed expenditure and cannot be reduced.</t>
  </si>
  <si>
    <t>Option A is the smallest budget, Option B is middle of the budget and Option C is largest necessary.</t>
  </si>
  <si>
    <t>The breakdown for the Council Tax bands are as follows for each option:</t>
  </si>
  <si>
    <t>No. of houses</t>
  </si>
  <si>
    <t>2022-23</t>
  </si>
  <si>
    <t>Band A</t>
  </si>
  <si>
    <t>Band D</t>
  </si>
  <si>
    <t>Band B</t>
  </si>
  <si>
    <t>Band C</t>
  </si>
  <si>
    <t>Band E</t>
  </si>
  <si>
    <t>Band F</t>
  </si>
  <si>
    <t>Band G</t>
  </si>
  <si>
    <t>Band H</t>
  </si>
  <si>
    <t>These amounts are added to the Council Tax payment, amounts are £/annum</t>
  </si>
  <si>
    <t>6 hours per week plus travel allowance -             allow for 2% pay increase</t>
  </si>
  <si>
    <t>PCC - Donation to The Villager - currently secured funding from ABC, consider whether      the PC will underwrite should ABC not fund</t>
  </si>
  <si>
    <t>decrease on 2022/23</t>
  </si>
  <si>
    <t>same as 2022/23</t>
  </si>
  <si>
    <t>increase on 2022/23</t>
  </si>
  <si>
    <t>Clerks expenses</t>
  </si>
  <si>
    <t>Lushland</t>
  </si>
  <si>
    <t>OLT</t>
  </si>
  <si>
    <t>Dog poo bags</t>
  </si>
  <si>
    <t>Litterpicker</t>
  </si>
  <si>
    <t>Village Hall Repairs</t>
  </si>
  <si>
    <t>Annual Membership</t>
  </si>
  <si>
    <t>JPF Inspection</t>
  </si>
  <si>
    <t>account 2</t>
  </si>
  <si>
    <t>Period from 1 April 2022 to 30 April 2023</t>
  </si>
  <si>
    <r>
      <t>Reserves brought forward at 1 April</t>
    </r>
    <r>
      <rPr>
        <b/>
        <sz val="12"/>
        <rFont val="Calibri"/>
        <family val="2"/>
      </rPr>
      <t xml:space="preserve"> </t>
    </r>
    <r>
      <rPr>
        <sz val="12"/>
        <rFont val="Calibri"/>
        <family val="2"/>
      </rPr>
      <t>2023</t>
    </r>
  </si>
  <si>
    <t>Operating surplus at 30 April 2023</t>
  </si>
  <si>
    <t>Grant for the Village Hall</t>
  </si>
  <si>
    <t>Operating surplus at 30 June 2023</t>
  </si>
  <si>
    <t>JRB Enterprise</t>
  </si>
  <si>
    <t xml:space="preserve">Bank current a/c balance: Community DirectPlus                                         </t>
  </si>
  <si>
    <t xml:space="preserve">Bank current a/c balance: Business Select Instant Access Account     </t>
  </si>
  <si>
    <t>Village Hall sign</t>
  </si>
  <si>
    <t>Playsafety Ltd</t>
  </si>
  <si>
    <t>Kingsford Solicitors</t>
  </si>
  <si>
    <t>Defibrillator</t>
  </si>
  <si>
    <t>Period from 1 April 2022 to 31 August 2023</t>
  </si>
  <si>
    <t>Village Hall Electrics</t>
  </si>
  <si>
    <t>Working from home</t>
  </si>
  <si>
    <t>Operating surplus at 30 September 2023</t>
  </si>
  <si>
    <t>2024/25</t>
  </si>
  <si>
    <t>increase on 2023/24</t>
  </si>
  <si>
    <t>2024-25</t>
  </si>
  <si>
    <t>2023-24</t>
  </si>
  <si>
    <t>went into liquidation</t>
  </si>
  <si>
    <t>necessary???</t>
  </si>
  <si>
    <t>Treework</t>
  </si>
  <si>
    <t>as required following arborial report</t>
  </si>
  <si>
    <t>Mazars</t>
  </si>
  <si>
    <t>Hugo Fox</t>
  </si>
  <si>
    <t>Period from 1 April 2023 to 31 December 2023</t>
  </si>
  <si>
    <t>Millennium Green beacon repairs</t>
  </si>
  <si>
    <t>Clerk Expenses</t>
  </si>
  <si>
    <t>Kiosk sign</t>
  </si>
  <si>
    <t>Christmas lights</t>
  </si>
  <si>
    <t>Period from 1 April 2023 to 31 January 2024</t>
  </si>
  <si>
    <t>Lushland (Arborial Report)</t>
  </si>
  <si>
    <t>Operating surplus at 31 January 2024</t>
  </si>
  <si>
    <t>Mersham Church Room hire</t>
  </si>
  <si>
    <t>Period from 1 April 2023 to 29 February 2024</t>
  </si>
  <si>
    <t>Operating surplus at 29 February 2024</t>
  </si>
  <si>
    <t>Neil Radford</t>
  </si>
  <si>
    <t>KALC</t>
  </si>
  <si>
    <t>HugoFox</t>
  </si>
  <si>
    <t>Paul Rodway</t>
  </si>
  <si>
    <t>Wayleave</t>
  </si>
  <si>
    <t>Ransley Turf</t>
  </si>
  <si>
    <t>Period from 1 April 2023 to 31 March 2024</t>
  </si>
  <si>
    <t>Christmas Tree</t>
  </si>
  <si>
    <t>The net balances reconcile to the Cash Book for the year as follows:</t>
  </si>
  <si>
    <t>CASH BOOK</t>
  </si>
  <si>
    <t>Add: Receipts in the Year</t>
  </si>
  <si>
    <t>Less: Payments in the year</t>
  </si>
  <si>
    <t>The Parish Council reduced the precept having previously raised it because the PC split in 2020 and it was important to build up a buffer.  Now that it has been reached, it was considered appropriate to drop the precept rather than increase the reserves.  Reduction of £4650 was agreed in November 2022 for the precept in 2023.</t>
  </si>
  <si>
    <r>
      <t xml:space="preserve">Automatic responses trigger below based on figures input, </t>
    </r>
    <r>
      <rPr>
        <b/>
        <sz val="11"/>
        <color indexed="8"/>
        <rFont val="Calibri"/>
        <family val="2"/>
        <scheme val="minor"/>
      </rPr>
      <t>DO NOT OVERWRITE THESE BOXES</t>
    </r>
  </si>
  <si>
    <t>The Parish Council had a new Hall built as an agreement with the developer of a 7 new homes in the Parish next to the original Hall.  The Village Hall land is owned by the Parish Council and managed by a separate Management Charity.  The new Village Hall required kitting out and the old hall needed some upgrades, the Parish Council agreed to pay the bills for these, as land owner, on the agreement that the Village Hall would make a contribution once it's income had increased.  The Village Hall paid back a total of 17959.21 for 2022/23 and 2023/24.                                                                                                                                          Grants received were £2785 in 22/23 but were £1080 in 2023/24, a reduction of £1705.                                                                                                                                                                   Interest rates have increased so interest was £40.34 in 2023/24 compared to £4.85 the previous year, increase of £35.49.                                                                                   VAT reclaimed in 2023/24 was £1567.57, an increase of £917.33 on 2022/23.                                          This gives a variation of 17959.21-1705+35.49+917.33 = £17207.03</t>
  </si>
  <si>
    <t>Village Caretaker Account</t>
  </si>
  <si>
    <t>Clerk</t>
  </si>
  <si>
    <t>Mersham Villlage Hall Upgrade</t>
  </si>
  <si>
    <t>Period from 1 April 2024 to 31 May 2024</t>
  </si>
  <si>
    <t>FastHosts</t>
  </si>
  <si>
    <t>Insrance</t>
  </si>
  <si>
    <r>
      <t>Reserves brought forward at 1 April</t>
    </r>
    <r>
      <rPr>
        <b/>
        <sz val="12"/>
        <rFont val="Calibri"/>
        <family val="2"/>
      </rPr>
      <t xml:space="preserve"> </t>
    </r>
    <r>
      <rPr>
        <sz val="12"/>
        <rFont val="Calibri"/>
        <family val="2"/>
      </rPr>
      <t>2024</t>
    </r>
  </si>
  <si>
    <t>Operating surplus at 31 May 2024</t>
  </si>
  <si>
    <t>Payment Schedule</t>
  </si>
  <si>
    <t>Transaction</t>
  </si>
  <si>
    <t>Cheque</t>
  </si>
  <si>
    <t>Summary</t>
  </si>
  <si>
    <t>Amount £</t>
  </si>
  <si>
    <t>Number</t>
  </si>
  <si>
    <t>Net</t>
  </si>
  <si>
    <t>24/25.012</t>
  </si>
  <si>
    <t>24/25.013</t>
  </si>
  <si>
    <t>24/25.014</t>
  </si>
  <si>
    <t>24/25.015</t>
  </si>
  <si>
    <t>24/25.016</t>
  </si>
  <si>
    <t>Salary</t>
  </si>
  <si>
    <t>24/25.017</t>
  </si>
  <si>
    <t>PAYE/NI</t>
  </si>
  <si>
    <t>24/25.018</t>
  </si>
  <si>
    <t>24/25.019</t>
  </si>
  <si>
    <r>
      <t xml:space="preserve">Certified as correct:                                                                                                                         </t>
    </r>
    <r>
      <rPr>
        <b/>
        <sz val="14"/>
        <color indexed="12"/>
        <rFont val="Calibri"/>
        <family val="2"/>
      </rPr>
      <t xml:space="preserve"> </t>
    </r>
  </si>
  <si>
    <t xml:space="preserve">Member Authorisation initials:                        </t>
  </si>
  <si>
    <t>24/25.001</t>
  </si>
  <si>
    <t>24/25.002</t>
  </si>
  <si>
    <t>24/25.003</t>
  </si>
  <si>
    <t>24/25.004</t>
  </si>
  <si>
    <t>24/25.005</t>
  </si>
  <si>
    <t>24/25.006</t>
  </si>
  <si>
    <t>24/25.007</t>
  </si>
  <si>
    <t>24/25.008</t>
  </si>
  <si>
    <t>Ian King</t>
  </si>
  <si>
    <t>Part payment of the Caretaker Scheme</t>
  </si>
  <si>
    <t>24/25.009</t>
  </si>
  <si>
    <t>24/25.010</t>
  </si>
  <si>
    <t>24/25.011</t>
  </si>
  <si>
    <t>Domain Hosting</t>
  </si>
  <si>
    <t>Diamond Floorings</t>
  </si>
  <si>
    <t>Village Hall Upgrade</t>
  </si>
  <si>
    <t>Arthur Gallagher</t>
  </si>
  <si>
    <t>Parish Council Insurance</t>
  </si>
  <si>
    <r>
      <t xml:space="preserve">Period:  </t>
    </r>
    <r>
      <rPr>
        <sz val="12"/>
        <color indexed="8"/>
        <rFont val="Calibri"/>
        <family val="2"/>
      </rPr>
      <t xml:space="preserve">April -June 2024 </t>
    </r>
  </si>
  <si>
    <t xml:space="preserve">5th July 2024 </t>
  </si>
  <si>
    <t xml:space="preserve"> Minute ref: 150724 13 a) i</t>
  </si>
  <si>
    <t xml:space="preserve">Approved by Council 15:07:2024  </t>
  </si>
  <si>
    <t>24/25.020</t>
  </si>
  <si>
    <t>24/25.021</t>
  </si>
  <si>
    <t>24/25.022</t>
  </si>
  <si>
    <r>
      <t xml:space="preserve">Period:  </t>
    </r>
    <r>
      <rPr>
        <sz val="12"/>
        <color indexed="8"/>
        <rFont val="Calibri"/>
        <family val="2"/>
      </rPr>
      <t xml:space="preserve">July - August 2024 </t>
    </r>
  </si>
  <si>
    <t>Period from 1 April 2024 to 30 June 2024</t>
  </si>
  <si>
    <t>Operating surplus at 30 June 2024</t>
  </si>
  <si>
    <t>Period from 1 April 2024 to 30 September 2024</t>
  </si>
  <si>
    <t>Playsafely Ltd</t>
  </si>
  <si>
    <t>Operating surplus at 30 September 2024</t>
  </si>
  <si>
    <r>
      <t xml:space="preserve">Period:  </t>
    </r>
    <r>
      <rPr>
        <sz val="12"/>
        <color indexed="8"/>
        <rFont val="Calibri"/>
        <family val="2"/>
      </rPr>
      <t xml:space="preserve">October 2024 </t>
    </r>
  </si>
  <si>
    <t>24/25.032</t>
  </si>
  <si>
    <t>24/25.033</t>
  </si>
  <si>
    <t>24/25.034</t>
  </si>
  <si>
    <t>24/25.035</t>
  </si>
  <si>
    <t>24/25.036</t>
  </si>
  <si>
    <t>SO</t>
  </si>
  <si>
    <t xml:space="preserve">7th October 2024 </t>
  </si>
  <si>
    <t xml:space="preserve">Approved by Council 21:10:2024  </t>
  </si>
  <si>
    <t xml:space="preserve"> Minute ref: 211024 13 a) i</t>
  </si>
  <si>
    <t>Period from 1 April 2024 to 31 October 2024</t>
  </si>
  <si>
    <t>Operating surplus at 31 October 2024</t>
  </si>
  <si>
    <t>Barriers</t>
  </si>
  <si>
    <t>24/25.037</t>
  </si>
  <si>
    <t>24/25.038</t>
  </si>
  <si>
    <t>24/25.039</t>
  </si>
  <si>
    <t>24/25.040</t>
  </si>
  <si>
    <t>24/25.041</t>
  </si>
  <si>
    <t>24/25.042</t>
  </si>
  <si>
    <r>
      <t xml:space="preserve">Period:  </t>
    </r>
    <r>
      <rPr>
        <sz val="12"/>
        <color indexed="8"/>
        <rFont val="Calibri"/>
        <family val="2"/>
      </rPr>
      <t xml:space="preserve">November - December 2024 </t>
    </r>
  </si>
  <si>
    <t xml:space="preserve">Approved by Council 18:11:2024  </t>
  </si>
  <si>
    <t xml:space="preserve">11th November 2024 </t>
  </si>
  <si>
    <t xml:space="preserve"> Minute ref: 181124 13 a) ii</t>
  </si>
  <si>
    <t>24/25.043</t>
  </si>
  <si>
    <t>24/25.044</t>
  </si>
  <si>
    <t>24/25.045</t>
  </si>
  <si>
    <t>24/25.046</t>
  </si>
  <si>
    <r>
      <t xml:space="preserve">Period:  </t>
    </r>
    <r>
      <rPr>
        <sz val="12"/>
        <color indexed="8"/>
        <rFont val="Calibri"/>
        <family val="2"/>
      </rPr>
      <t>January 2025</t>
    </r>
  </si>
  <si>
    <t>13th January 2025</t>
  </si>
  <si>
    <t xml:space="preserve">Approved by Council 20:01:2025  </t>
  </si>
  <si>
    <t xml:space="preserve"> Minute ref: 200125 13 a) ii</t>
  </si>
  <si>
    <t>Period from 1 April 2024 to 31 December 2024</t>
  </si>
  <si>
    <t>Operating surplus at 31 December 2024</t>
  </si>
  <si>
    <t>24/25.047</t>
  </si>
  <si>
    <t>24/25.048</t>
  </si>
  <si>
    <t>Period from 1 April 2024 to 31 January 2025</t>
  </si>
  <si>
    <t>Operating surplus at 31 January 2025</t>
  </si>
  <si>
    <t>24/25.049</t>
  </si>
  <si>
    <t>24/25.050</t>
  </si>
  <si>
    <t>24/25.051</t>
  </si>
  <si>
    <r>
      <t xml:space="preserve">Period:  </t>
    </r>
    <r>
      <rPr>
        <sz val="12"/>
        <color indexed="8"/>
        <rFont val="Calibri"/>
        <family val="2"/>
      </rPr>
      <t>February 2025</t>
    </r>
  </si>
  <si>
    <t xml:space="preserve"> Minute ref: 170225 13 a) ii</t>
  </si>
  <si>
    <t xml:space="preserve">Approved by Council 17:02:2025  </t>
  </si>
  <si>
    <t>10th February 2025</t>
  </si>
  <si>
    <t>Period from 1 April 2024 to 28 February 2025</t>
  </si>
  <si>
    <t>Operating surplus at 28 February 2025</t>
  </si>
  <si>
    <t>24/25.052</t>
  </si>
  <si>
    <t>24/25.053</t>
  </si>
  <si>
    <t>24/25.054</t>
  </si>
  <si>
    <t>24/25.055</t>
  </si>
  <si>
    <t>24/25.056</t>
  </si>
  <si>
    <t>Arborial Report</t>
  </si>
  <si>
    <t>10th March 2025</t>
  </si>
  <si>
    <t xml:space="preserve"> Minute ref: 170325 13 a) ii</t>
  </si>
  <si>
    <t xml:space="preserve">Approved by Council 17:03:2025  </t>
  </si>
  <si>
    <t>24/25.057</t>
  </si>
  <si>
    <t>24/25.058</t>
  </si>
  <si>
    <t>Jackson's fencing</t>
  </si>
  <si>
    <t>Tracey Block</t>
  </si>
  <si>
    <t>Expenses</t>
  </si>
  <si>
    <t>Caretaker Account</t>
  </si>
  <si>
    <t>Diamond Flooring</t>
  </si>
  <si>
    <t>Hugo Fox Ltd</t>
  </si>
  <si>
    <t>P Rodway</t>
  </si>
  <si>
    <t>1st APRIL 2024 - 31st March 2025</t>
  </si>
  <si>
    <t>Financial year ending 31 March 2025</t>
  </si>
  <si>
    <t>Balance per bank statements as at 31/3/25:</t>
  </si>
  <si>
    <r>
      <t>Less: any unpresented cheques as at 31/3/25</t>
    </r>
    <r>
      <rPr>
        <b/>
        <sz val="10.5"/>
        <color indexed="8"/>
        <rFont val="Arial"/>
        <family val="2"/>
      </rPr>
      <t xml:space="preserve"> (enter these as negative numbers)</t>
    </r>
  </si>
  <si>
    <t>Add: any un-banked cash as at 31/3/25</t>
  </si>
  <si>
    <t>Net balances as at 31/3/25 (Box 8)</t>
  </si>
  <si>
    <t>Opening Balance 1 April 2024</t>
  </si>
  <si>
    <t>Closing balance as per cash book as at 31 March 2025</t>
  </si>
  <si>
    <r>
      <t xml:space="preserve">Period:  </t>
    </r>
    <r>
      <rPr>
        <sz val="12"/>
        <color indexed="8"/>
        <rFont val="Calibri"/>
        <family val="2"/>
      </rPr>
      <t>April 2025</t>
    </r>
  </si>
  <si>
    <t>25/26.001</t>
  </si>
  <si>
    <t>25/26.002</t>
  </si>
  <si>
    <t>25/26.003</t>
  </si>
  <si>
    <t>22nd April 2025</t>
  </si>
  <si>
    <t xml:space="preserve"> Minute ref: 280425 6 d)</t>
  </si>
  <si>
    <t>Approved by Council 28/04/2025</t>
  </si>
  <si>
    <t>Beacon surround</t>
  </si>
  <si>
    <t>Clerk salary</t>
  </si>
  <si>
    <t>Annual Insurance</t>
  </si>
  <si>
    <t>Part payment for caretaker</t>
  </si>
  <si>
    <t>Village Hall Improvements</t>
  </si>
  <si>
    <t>RoSPA Inspection</t>
  </si>
  <si>
    <t>Ultra Secure Direct</t>
  </si>
  <si>
    <t>Website domain</t>
  </si>
  <si>
    <t>Jacksons</t>
  </si>
  <si>
    <t>Timber for beacon surround</t>
  </si>
  <si>
    <t>Arborial report</t>
  </si>
</sst>
</file>

<file path=xl/styles.xml><?xml version="1.0" encoding="utf-8"?>
<styleSheet xmlns="http://schemas.openxmlformats.org/spreadsheetml/2006/main">
  <numFmts count="8">
    <numFmt numFmtId="8" formatCode="&quot;£&quot;#,##0.00;[Red]\-&quot;£&quot;#,##0.00"/>
    <numFmt numFmtId="44" formatCode="_-&quot;£&quot;* #,##0.00_-;\-&quot;£&quot;* #,##0.00_-;_-&quot;£&quot;* &quot;-&quot;??_-;_-@_-"/>
    <numFmt numFmtId="43" formatCode="_-* #,##0.00_-;\-* #,##0.00_-;_-* &quot;-&quot;??_-;_-@_-"/>
    <numFmt numFmtId="164" formatCode="_-* #,##0.0_-;\-* #,##0.0_-;_-* &quot;-&quot;??_-;_-@_-"/>
    <numFmt numFmtId="165" formatCode="#,##0.00;\(#,##0.00\)"/>
    <numFmt numFmtId="166" formatCode="#,##0.00_ ;\(#,##0.00\);_-* &quot;-&quot;??_-"/>
    <numFmt numFmtId="167" formatCode="&quot;£&quot;#,##0.00"/>
    <numFmt numFmtId="168" formatCode="0.0000"/>
  </numFmts>
  <fonts count="48">
    <font>
      <sz val="11"/>
      <color theme="1"/>
      <name val="Calibri"/>
      <family val="2"/>
      <scheme val="minor"/>
    </font>
    <font>
      <sz val="11"/>
      <color theme="1"/>
      <name val="Calibri"/>
      <family val="2"/>
      <scheme val="minor"/>
    </font>
    <font>
      <b/>
      <sz val="10"/>
      <name val="Arial"/>
      <family val="2"/>
    </font>
    <font>
      <sz val="12"/>
      <name val="Arial"/>
      <family val="2"/>
    </font>
    <font>
      <sz val="10"/>
      <name val="Arial"/>
      <family val="2"/>
    </font>
    <font>
      <b/>
      <sz val="12"/>
      <name val="Arial"/>
      <family val="2"/>
    </font>
    <font>
      <sz val="11"/>
      <name val="Arial"/>
      <family val="2"/>
    </font>
    <font>
      <b/>
      <sz val="11"/>
      <name val="Arial"/>
      <family val="2"/>
    </font>
    <font>
      <b/>
      <sz val="14"/>
      <color theme="1"/>
      <name val="Arial"/>
      <family val="2"/>
    </font>
    <font>
      <sz val="14"/>
      <color theme="1"/>
      <name val="Arial"/>
      <family val="2"/>
    </font>
    <font>
      <sz val="10.5"/>
      <color theme="1"/>
      <name val="Calibri"/>
      <family val="2"/>
      <scheme val="minor"/>
    </font>
    <font>
      <sz val="10.5"/>
      <color theme="1"/>
      <name val="Arial"/>
      <family val="2"/>
    </font>
    <font>
      <b/>
      <sz val="10.5"/>
      <color theme="1"/>
      <name val="Arial"/>
      <family val="2"/>
    </font>
    <font>
      <b/>
      <sz val="10.5"/>
      <color indexed="8"/>
      <name val="Arial"/>
      <family val="2"/>
    </font>
    <font>
      <b/>
      <sz val="14"/>
      <name val="Arial"/>
      <family val="2"/>
    </font>
    <font>
      <sz val="11"/>
      <color theme="1"/>
      <name val="Arial"/>
      <family val="2"/>
    </font>
    <font>
      <sz val="8"/>
      <color theme="1"/>
      <name val="Arial"/>
      <family val="2"/>
    </font>
    <font>
      <b/>
      <sz val="8"/>
      <color indexed="8"/>
      <name val="Arial"/>
      <family val="2"/>
    </font>
    <font>
      <b/>
      <sz val="10"/>
      <color indexed="10"/>
      <name val="Arial"/>
      <family val="2"/>
    </font>
    <font>
      <b/>
      <u/>
      <sz val="10"/>
      <color indexed="62"/>
      <name val="Arial"/>
      <family val="2"/>
    </font>
    <font>
      <b/>
      <sz val="10"/>
      <color theme="1"/>
      <name val="Arial"/>
      <family val="2"/>
    </font>
    <font>
      <sz val="10"/>
      <color indexed="8"/>
      <name val="Arial"/>
      <family val="2"/>
    </font>
    <font>
      <b/>
      <sz val="11"/>
      <color theme="1"/>
      <name val="Arial"/>
      <family val="2"/>
    </font>
    <font>
      <b/>
      <u/>
      <sz val="11"/>
      <color indexed="8"/>
      <name val="Arial"/>
      <family val="2"/>
    </font>
    <font>
      <sz val="10"/>
      <color rgb="FF0B0C0C"/>
      <name val="Arial"/>
      <family val="2"/>
    </font>
    <font>
      <sz val="11"/>
      <name val="Calibri"/>
      <family val="2"/>
      <scheme val="minor"/>
    </font>
    <font>
      <b/>
      <sz val="11"/>
      <name val="Calibri"/>
      <family val="2"/>
      <scheme val="minor"/>
    </font>
    <font>
      <b/>
      <sz val="14"/>
      <name val="Calibri"/>
      <family val="2"/>
      <scheme val="minor"/>
    </font>
    <font>
      <sz val="12"/>
      <name val="Calibri"/>
      <family val="2"/>
      <scheme val="minor"/>
    </font>
    <font>
      <b/>
      <u/>
      <sz val="14"/>
      <name val="Calibri"/>
      <family val="2"/>
      <scheme val="minor"/>
    </font>
    <font>
      <b/>
      <sz val="12"/>
      <name val="Calibri"/>
      <family val="2"/>
      <scheme val="minor"/>
    </font>
    <font>
      <sz val="12"/>
      <color rgb="FF000000"/>
      <name val="Calibri"/>
      <family val="2"/>
    </font>
    <font>
      <sz val="12"/>
      <name val="Calibri"/>
      <family val="2"/>
    </font>
    <font>
      <sz val="11"/>
      <color rgb="FF000000"/>
      <name val="Calibri"/>
      <family val="2"/>
    </font>
    <font>
      <b/>
      <sz val="12"/>
      <name val="Calibri"/>
      <family val="2"/>
    </font>
    <font>
      <b/>
      <sz val="11"/>
      <color theme="1"/>
      <name val="Calibri"/>
      <family val="2"/>
      <scheme val="minor"/>
    </font>
    <font>
      <sz val="11"/>
      <color rgb="FFFF0000"/>
      <name val="Calibri"/>
      <family val="2"/>
      <scheme val="minor"/>
    </font>
    <font>
      <b/>
      <sz val="11"/>
      <color rgb="FFFF0000"/>
      <name val="Calibri"/>
      <family val="2"/>
      <scheme val="minor"/>
    </font>
    <font>
      <b/>
      <sz val="11"/>
      <color indexed="8"/>
      <name val="Calibri"/>
      <family val="2"/>
      <scheme val="minor"/>
    </font>
    <font>
      <sz val="12"/>
      <color theme="1"/>
      <name val="Times New Roman"/>
      <family val="1"/>
    </font>
    <font>
      <b/>
      <sz val="16"/>
      <color rgb="FF00B051"/>
      <name val="Calibri"/>
      <family val="2"/>
    </font>
    <font>
      <b/>
      <sz val="16"/>
      <color theme="1"/>
      <name val="Calibri"/>
      <family val="2"/>
    </font>
    <font>
      <b/>
      <sz val="12"/>
      <color theme="1"/>
      <name val="Calibri"/>
      <family val="2"/>
    </font>
    <font>
      <sz val="12"/>
      <color indexed="8"/>
      <name val="Calibri"/>
      <family val="2"/>
    </font>
    <font>
      <sz val="12"/>
      <color theme="1"/>
      <name val="Calibri"/>
      <family val="2"/>
    </font>
    <font>
      <b/>
      <sz val="11"/>
      <color theme="1"/>
      <name val="Calibri"/>
      <family val="2"/>
    </font>
    <font>
      <sz val="11"/>
      <color theme="1"/>
      <name val="Calibri"/>
      <family val="2"/>
    </font>
    <font>
      <b/>
      <sz val="14"/>
      <color indexed="12"/>
      <name val="Calibri"/>
      <family val="2"/>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66CCFF"/>
        <bgColor indexed="64"/>
      </patternFill>
    </fill>
    <fill>
      <patternFill patternType="solid">
        <fgColor indexed="13"/>
        <bgColor indexed="64"/>
      </patternFill>
    </fill>
    <fill>
      <patternFill patternType="solid">
        <fgColor rgb="FFFF0000"/>
        <bgColor indexed="64"/>
      </patternFill>
    </fill>
    <fill>
      <patternFill patternType="solid">
        <fgColor rgb="FFFF66FF"/>
        <bgColor indexed="64"/>
      </patternFill>
    </fill>
    <fill>
      <patternFill patternType="solid">
        <fgColor theme="3" tint="0.59999389629810485"/>
        <bgColor indexed="64"/>
      </patternFill>
    </fill>
    <fill>
      <patternFill patternType="solid">
        <fgColor rgb="FFFFC000"/>
        <bgColor indexed="64"/>
      </patternFill>
    </fill>
    <fill>
      <patternFill patternType="solid">
        <fgColor theme="9" tint="0.39997558519241921"/>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0" fontId="4" fillId="0" borderId="0"/>
    <xf numFmtId="44" fontId="1" fillId="0" borderId="0" applyFont="0" applyFill="0" applyBorder="0" applyAlignment="0" applyProtection="0"/>
  </cellStyleXfs>
  <cellXfs count="287">
    <xf numFmtId="0" fontId="0" fillId="0" borderId="0" xfId="0"/>
    <xf numFmtId="0" fontId="3" fillId="0" borderId="2" xfId="0" applyFont="1" applyBorder="1"/>
    <xf numFmtId="0" fontId="0" fillId="0" borderId="2" xfId="0" applyBorder="1"/>
    <xf numFmtId="0" fontId="6" fillId="0" borderId="2" xfId="0" applyFont="1" applyBorder="1"/>
    <xf numFmtId="2" fontId="6" fillId="0" borderId="2" xfId="0" applyNumberFormat="1" applyFont="1" applyBorder="1"/>
    <xf numFmtId="0" fontId="7" fillId="2" borderId="2" xfId="0" applyFont="1" applyFill="1" applyBorder="1" applyAlignment="1">
      <alignment horizontal="center"/>
    </xf>
    <xf numFmtId="49" fontId="7" fillId="2" borderId="2" xfId="0" applyNumberFormat="1" applyFont="1" applyFill="1" applyBorder="1" applyAlignment="1">
      <alignment horizontal="center"/>
    </xf>
    <xf numFmtId="0" fontId="7" fillId="2" borderId="2" xfId="0" applyFont="1" applyFill="1" applyBorder="1"/>
    <xf numFmtId="0" fontId="7" fillId="2" borderId="2" xfId="0" applyFont="1" applyFill="1" applyBorder="1" applyAlignment="1">
      <alignment wrapText="1"/>
    </xf>
    <xf numFmtId="14" fontId="0" fillId="0" borderId="2" xfId="0" applyNumberFormat="1" applyFont="1" applyBorder="1"/>
    <xf numFmtId="0" fontId="0" fillId="0" borderId="0" xfId="0" applyFont="1"/>
    <xf numFmtId="0" fontId="0" fillId="0" borderId="2" xfId="0" applyFont="1" applyBorder="1"/>
    <xf numFmtId="0" fontId="6" fillId="0" borderId="2" xfId="0" applyFont="1" applyBorder="1" applyAlignment="1">
      <alignment horizontal="left"/>
    </xf>
    <xf numFmtId="2" fontId="6" fillId="0" borderId="2" xfId="0" applyNumberFormat="1" applyFont="1" applyBorder="1" applyAlignment="1"/>
    <xf numFmtId="0" fontId="6" fillId="0" borderId="2" xfId="0" applyFont="1" applyFill="1" applyBorder="1"/>
    <xf numFmtId="2" fontId="0" fillId="0" borderId="2" xfId="0" applyNumberFormat="1" applyFont="1" applyBorder="1"/>
    <xf numFmtId="0" fontId="8" fillId="0" borderId="0" xfId="0" applyFont="1" applyAlignment="1">
      <alignment horizontal="left" vertical="center"/>
    </xf>
    <xf numFmtId="0" fontId="9" fillId="0" borderId="0" xfId="0" applyFont="1"/>
    <xf numFmtId="164" fontId="9" fillId="0" borderId="0" xfId="1" applyNumberFormat="1" applyFont="1" applyAlignment="1">
      <alignment horizontal="right"/>
    </xf>
    <xf numFmtId="0" fontId="10" fillId="0" borderId="0" xfId="0" applyFont="1" applyAlignment="1">
      <alignment horizontal="left" wrapText="1"/>
    </xf>
    <xf numFmtId="0" fontId="11" fillId="0" borderId="0" xfId="0" applyFont="1"/>
    <xf numFmtId="164" fontId="11" fillId="0" borderId="0" xfId="1" applyNumberFormat="1" applyFont="1" applyAlignment="1">
      <alignment horizontal="right"/>
    </xf>
    <xf numFmtId="0" fontId="12" fillId="0" borderId="0" xfId="0" applyFont="1"/>
    <xf numFmtId="14" fontId="11" fillId="3" borderId="0" xfId="0" applyNumberFormat="1" applyFont="1" applyFill="1"/>
    <xf numFmtId="164" fontId="12" fillId="0" borderId="0" xfId="1" applyNumberFormat="1" applyFont="1" applyAlignment="1">
      <alignment horizontal="right"/>
    </xf>
    <xf numFmtId="0" fontId="11" fillId="3" borderId="0" xfId="0" applyFont="1" applyFill="1"/>
    <xf numFmtId="43" fontId="11" fillId="3" borderId="0" xfId="1" applyNumberFormat="1" applyFont="1" applyFill="1" applyAlignment="1">
      <alignment horizontal="right"/>
    </xf>
    <xf numFmtId="164" fontId="11" fillId="0" borderId="1" xfId="1" applyNumberFormat="1" applyFont="1" applyBorder="1" applyAlignment="1">
      <alignment horizontal="right"/>
    </xf>
    <xf numFmtId="43" fontId="11" fillId="0" borderId="0" xfId="1" applyNumberFormat="1" applyFont="1" applyBorder="1" applyAlignment="1">
      <alignment horizontal="right"/>
    </xf>
    <xf numFmtId="165" fontId="11" fillId="0" borderId="0" xfId="1" applyNumberFormat="1" applyFont="1" applyAlignment="1">
      <alignment horizontal="right"/>
    </xf>
    <xf numFmtId="2" fontId="3" fillId="2" borderId="0" xfId="0" applyNumberFormat="1" applyFont="1" applyFill="1" applyBorder="1"/>
    <xf numFmtId="165" fontId="11" fillId="3" borderId="0" xfId="1" applyNumberFormat="1" applyFont="1" applyFill="1" applyAlignment="1">
      <alignment horizontal="right"/>
    </xf>
    <xf numFmtId="2" fontId="3" fillId="0" borderId="0" xfId="0" applyNumberFormat="1" applyFont="1" applyBorder="1"/>
    <xf numFmtId="0" fontId="11" fillId="0" borderId="0" xfId="0" applyFont="1" applyAlignment="1">
      <alignment horizontal="center"/>
    </xf>
    <xf numFmtId="166" fontId="11" fillId="0" borderId="0" xfId="1" applyNumberFormat="1" applyFont="1" applyAlignment="1">
      <alignment horizontal="right"/>
    </xf>
    <xf numFmtId="164" fontId="11" fillId="3" borderId="0" xfId="1" applyNumberFormat="1" applyFont="1" applyFill="1" applyAlignment="1">
      <alignment horizontal="right"/>
    </xf>
    <xf numFmtId="43" fontId="12" fillId="0" borderId="6" xfId="1" applyNumberFormat="1" applyFont="1" applyBorder="1" applyAlignment="1">
      <alignment horizontal="right"/>
    </xf>
    <xf numFmtId="0" fontId="5" fillId="0" borderId="0" xfId="0" applyFont="1" applyAlignment="1">
      <alignment vertical="top"/>
    </xf>
    <xf numFmtId="0" fontId="15" fillId="0" borderId="0" xfId="0" applyFont="1" applyAlignment="1">
      <alignment wrapText="1"/>
    </xf>
    <xf numFmtId="0" fontId="15" fillId="0" borderId="0" xfId="0" applyFont="1"/>
    <xf numFmtId="0" fontId="16" fillId="0" borderId="0" xfId="0" applyFont="1"/>
    <xf numFmtId="0" fontId="15" fillId="0" borderId="0" xfId="0" applyFont="1" applyBorder="1" applyAlignment="1">
      <alignment horizontal="left" vertical="center"/>
    </xf>
    <xf numFmtId="0" fontId="15" fillId="4" borderId="0" xfId="0" applyFont="1" applyFill="1"/>
    <xf numFmtId="0" fontId="18" fillId="0" borderId="0" xfId="0" applyFont="1"/>
    <xf numFmtId="0" fontId="22" fillId="0" borderId="0" xfId="0" applyFont="1" applyAlignment="1">
      <alignment horizontal="center"/>
    </xf>
    <xf numFmtId="0" fontId="22" fillId="0" borderId="0" xfId="0" applyFont="1"/>
    <xf numFmtId="0" fontId="22" fillId="0" borderId="0" xfId="0" applyFont="1" applyAlignment="1">
      <alignment horizontal="center" wrapText="1"/>
    </xf>
    <xf numFmtId="0" fontId="22" fillId="0" borderId="2" xfId="0" applyFont="1" applyBorder="1" applyAlignment="1">
      <alignment wrapText="1"/>
    </xf>
    <xf numFmtId="0" fontId="15" fillId="0" borderId="0" xfId="0" applyFont="1" applyAlignment="1">
      <alignment horizontal="center"/>
    </xf>
    <xf numFmtId="3" fontId="2" fillId="6" borderId="7" xfId="0" applyNumberFormat="1" applyFont="1" applyFill="1" applyBorder="1" applyAlignment="1" applyProtection="1">
      <alignment horizontal="center"/>
      <protection locked="0"/>
    </xf>
    <xf numFmtId="3" fontId="15" fillId="0" borderId="0" xfId="0" applyNumberFormat="1" applyFont="1"/>
    <xf numFmtId="0" fontId="15" fillId="0" borderId="2" xfId="0" applyFont="1" applyBorder="1" applyAlignment="1">
      <alignment wrapText="1"/>
    </xf>
    <xf numFmtId="10" fontId="15" fillId="0" borderId="0" xfId="0" applyNumberFormat="1" applyFont="1"/>
    <xf numFmtId="3" fontId="2" fillId="7" borderId="7" xfId="0" applyNumberFormat="1" applyFont="1" applyFill="1" applyBorder="1" applyAlignment="1" applyProtection="1">
      <alignment horizontal="center"/>
      <protection locked="0"/>
    </xf>
    <xf numFmtId="0" fontId="15" fillId="0" borderId="0" xfId="0" applyFont="1" applyFill="1"/>
    <xf numFmtId="3" fontId="2" fillId="0" borderId="0" xfId="0" applyNumberFormat="1" applyFont="1" applyFill="1" applyBorder="1" applyAlignment="1" applyProtection="1">
      <alignment horizontal="center"/>
      <protection locked="0"/>
    </xf>
    <xf numFmtId="10" fontId="15" fillId="0" borderId="0" xfId="0" applyNumberFormat="1" applyFont="1" applyFill="1"/>
    <xf numFmtId="0" fontId="15" fillId="0" borderId="0" xfId="0" applyFont="1" applyFill="1" applyAlignment="1">
      <alignment horizontal="center"/>
    </xf>
    <xf numFmtId="0" fontId="15" fillId="0" borderId="0" xfId="0" applyFont="1" applyBorder="1" applyAlignment="1">
      <alignment horizontal="center" wrapText="1"/>
    </xf>
    <xf numFmtId="0" fontId="15" fillId="0" borderId="0" xfId="0" applyFont="1" applyFill="1" applyAlignment="1">
      <alignment wrapText="1"/>
    </xf>
    <xf numFmtId="0" fontId="4" fillId="0" borderId="0" xfId="0" applyFont="1"/>
    <xf numFmtId="44" fontId="0" fillId="0" borderId="0" xfId="0" applyNumberFormat="1"/>
    <xf numFmtId="0" fontId="25" fillId="0" borderId="2" xfId="2" applyFont="1" applyBorder="1"/>
    <xf numFmtId="0" fontId="26" fillId="0" borderId="2" xfId="2" applyFont="1" applyBorder="1" applyAlignment="1">
      <alignment horizontal="center"/>
    </xf>
    <xf numFmtId="0" fontId="26" fillId="10" borderId="2" xfId="2" applyFont="1" applyFill="1" applyBorder="1" applyAlignment="1">
      <alignment horizontal="center"/>
    </xf>
    <xf numFmtId="0" fontId="26" fillId="0" borderId="2" xfId="2" applyFont="1" applyBorder="1" applyAlignment="1">
      <alignment horizontal="center" wrapText="1"/>
    </xf>
    <xf numFmtId="0" fontId="25" fillId="10" borderId="2" xfId="0" applyFont="1" applyFill="1" applyBorder="1" applyAlignment="1">
      <alignment horizontal="right"/>
    </xf>
    <xf numFmtId="0" fontId="25" fillId="0" borderId="2" xfId="0" applyFont="1" applyBorder="1" applyAlignment="1">
      <alignment horizontal="left"/>
    </xf>
    <xf numFmtId="2" fontId="25" fillId="0" borderId="2" xfId="0" applyNumberFormat="1" applyFont="1" applyBorder="1" applyAlignment="1">
      <alignment horizontal="center"/>
    </xf>
    <xf numFmtId="0" fontId="25" fillId="0" borderId="2" xfId="0" applyFont="1" applyBorder="1"/>
    <xf numFmtId="0" fontId="25" fillId="10" borderId="2" xfId="0" applyFont="1" applyFill="1" applyBorder="1" applyAlignment="1">
      <alignment horizontal="right" wrapText="1"/>
    </xf>
    <xf numFmtId="0" fontId="25" fillId="0" borderId="2" xfId="2" applyFont="1" applyBorder="1" applyAlignment="1">
      <alignment wrapText="1"/>
    </xf>
    <xf numFmtId="2" fontId="25" fillId="0" borderId="2" xfId="2" applyNumberFormat="1" applyFont="1" applyBorder="1" applyAlignment="1">
      <alignment horizontal="center"/>
    </xf>
    <xf numFmtId="0" fontId="0" fillId="0" borderId="0" xfId="0" applyAlignment="1">
      <alignment horizontal="center"/>
    </xf>
    <xf numFmtId="0" fontId="25" fillId="0" borderId="0" xfId="0" applyFont="1"/>
    <xf numFmtId="0" fontId="28" fillId="0" borderId="0" xfId="0" applyFont="1"/>
    <xf numFmtId="0" fontId="29" fillId="0" borderId="0" xfId="0" applyFont="1"/>
    <xf numFmtId="0" fontId="30" fillId="0" borderId="0" xfId="0" applyFont="1"/>
    <xf numFmtId="2" fontId="28" fillId="0" borderId="0" xfId="0" applyNumberFormat="1" applyFont="1"/>
    <xf numFmtId="4" fontId="30" fillId="0" borderId="0" xfId="0" applyNumberFormat="1" applyFont="1" applyAlignment="1">
      <alignment horizontal="left" indent="15"/>
    </xf>
    <xf numFmtId="4" fontId="28" fillId="0" borderId="4" xfId="0" applyNumberFormat="1" applyFont="1" applyBorder="1"/>
    <xf numFmtId="4" fontId="28" fillId="0" borderId="0" xfId="0" applyNumberFormat="1" applyFont="1" applyBorder="1"/>
    <xf numFmtId="0" fontId="31" fillId="0" borderId="0" xfId="0" applyFont="1" applyBorder="1"/>
    <xf numFmtId="8" fontId="32" fillId="0" borderId="0" xfId="0" applyNumberFormat="1" applyFont="1" applyBorder="1"/>
    <xf numFmtId="0" fontId="33" fillId="0" borderId="0" xfId="0" applyFont="1" applyBorder="1"/>
    <xf numFmtId="8" fontId="33" fillId="0" borderId="0" xfId="0" applyNumberFormat="1" applyFont="1" applyBorder="1"/>
    <xf numFmtId="4" fontId="28" fillId="0" borderId="0" xfId="0" applyNumberFormat="1" applyFont="1"/>
    <xf numFmtId="4" fontId="28" fillId="0" borderId="10" xfId="0" applyNumberFormat="1" applyFont="1" applyBorder="1"/>
    <xf numFmtId="2" fontId="28" fillId="0" borderId="0" xfId="1" applyNumberFormat="1" applyFont="1" applyAlignment="1"/>
    <xf numFmtId="2" fontId="28" fillId="0" borderId="0" xfId="0" applyNumberFormat="1" applyFont="1" applyBorder="1"/>
    <xf numFmtId="0" fontId="28" fillId="0" borderId="0" xfId="0" applyFont="1" applyAlignment="1">
      <alignment vertical="top"/>
    </xf>
    <xf numFmtId="2" fontId="28" fillId="0" borderId="11" xfId="0" applyNumberFormat="1" applyFont="1" applyBorder="1"/>
    <xf numFmtId="2" fontId="28" fillId="0" borderId="10" xfId="0" applyNumberFormat="1" applyFont="1" applyBorder="1"/>
    <xf numFmtId="44" fontId="0" fillId="0" borderId="2" xfId="0" applyNumberFormat="1" applyBorder="1"/>
    <xf numFmtId="2" fontId="25" fillId="0" borderId="2" xfId="0" applyNumberFormat="1" applyFont="1" applyBorder="1"/>
    <xf numFmtId="2" fontId="25" fillId="0" borderId="9" xfId="0" applyNumberFormat="1" applyFont="1" applyBorder="1"/>
    <xf numFmtId="2" fontId="25" fillId="0" borderId="2" xfId="2" applyNumberFormat="1" applyFont="1" applyBorder="1" applyAlignment="1">
      <alignment horizontal="right"/>
    </xf>
    <xf numFmtId="0" fontId="0" fillId="0" borderId="0" xfId="0" applyBorder="1"/>
    <xf numFmtId="2" fontId="0" fillId="0" borderId="0" xfId="0" applyNumberFormat="1"/>
    <xf numFmtId="4" fontId="0" fillId="0" borderId="0" xfId="0" applyNumberFormat="1"/>
    <xf numFmtId="2" fontId="0" fillId="0" borderId="2" xfId="0" applyNumberFormat="1" applyFont="1" applyFill="1" applyBorder="1"/>
    <xf numFmtId="0" fontId="0" fillId="0" borderId="2" xfId="0" applyFont="1" applyFill="1" applyBorder="1"/>
    <xf numFmtId="8" fontId="0" fillId="0" borderId="0" xfId="0" applyNumberFormat="1"/>
    <xf numFmtId="1" fontId="0" fillId="0" borderId="2" xfId="0" applyNumberFormat="1" applyFont="1" applyBorder="1"/>
    <xf numFmtId="0" fontId="35" fillId="0" borderId="0" xfId="0" applyFont="1"/>
    <xf numFmtId="0" fontId="0" fillId="2" borderId="0" xfId="0" applyFill="1"/>
    <xf numFmtId="0" fontId="36" fillId="5" borderId="0" xfId="0" applyFont="1" applyFill="1"/>
    <xf numFmtId="0" fontId="25" fillId="0" borderId="0" xfId="0" applyFont="1" applyFill="1"/>
    <xf numFmtId="2" fontId="6" fillId="0" borderId="2" xfId="0" applyNumberFormat="1" applyFont="1" applyBorder="1" applyAlignment="1">
      <alignment horizontal="right"/>
    </xf>
    <xf numFmtId="2" fontId="6" fillId="0" borderId="2" xfId="0" applyNumberFormat="1" applyFont="1" applyFill="1" applyBorder="1" applyAlignment="1">
      <alignment horizontal="right"/>
    </xf>
    <xf numFmtId="0" fontId="0" fillId="0" borderId="12" xfId="0" applyFill="1" applyBorder="1"/>
    <xf numFmtId="2" fontId="0" fillId="3" borderId="2" xfId="0" applyNumberFormat="1" applyFont="1" applyFill="1" applyBorder="1"/>
    <xf numFmtId="0" fontId="0" fillId="3" borderId="2" xfId="0" applyFont="1" applyFill="1" applyBorder="1"/>
    <xf numFmtId="44" fontId="32" fillId="0" borderId="0" xfId="0" applyNumberFormat="1" applyFont="1" applyFill="1" applyBorder="1"/>
    <xf numFmtId="167" fontId="0" fillId="0" borderId="0" xfId="0" applyNumberFormat="1"/>
    <xf numFmtId="2" fontId="0" fillId="0" borderId="0" xfId="0" applyNumberFormat="1" applyFont="1" applyFill="1" applyBorder="1"/>
    <xf numFmtId="0" fontId="0" fillId="0" borderId="0" xfId="0" applyFont="1" applyFill="1" applyBorder="1"/>
    <xf numFmtId="2" fontId="0" fillId="11" borderId="2" xfId="0" applyNumberFormat="1" applyFont="1" applyFill="1" applyBorder="1"/>
    <xf numFmtId="2" fontId="6" fillId="0" borderId="2" xfId="0" applyNumberFormat="1" applyFont="1" applyFill="1" applyBorder="1"/>
    <xf numFmtId="0" fontId="0" fillId="0" borderId="0" xfId="0" applyFill="1"/>
    <xf numFmtId="2" fontId="0" fillId="0" borderId="2" xfId="0" applyNumberFormat="1" applyFill="1" applyBorder="1"/>
    <xf numFmtId="0" fontId="0" fillId="0" borderId="2" xfId="0" applyFill="1" applyBorder="1"/>
    <xf numFmtId="0" fontId="0" fillId="0" borderId="0" xfId="0" applyFont="1" applyFill="1"/>
    <xf numFmtId="0" fontId="0" fillId="0" borderId="12" xfId="0" applyFont="1" applyBorder="1"/>
    <xf numFmtId="0" fontId="0" fillId="0" borderId="12" xfId="0" applyBorder="1"/>
    <xf numFmtId="2" fontId="6" fillId="11" borderId="2" xfId="0" applyNumberFormat="1" applyFont="1" applyFill="1" applyBorder="1" applyAlignment="1">
      <alignment horizontal="right"/>
    </xf>
    <xf numFmtId="2" fontId="6" fillId="11" borderId="2" xfId="2" applyNumberFormat="1" applyFont="1" applyFill="1" applyBorder="1" applyAlignment="1">
      <alignment horizontal="right"/>
    </xf>
    <xf numFmtId="0" fontId="0" fillId="12" borderId="2" xfId="0" applyFont="1" applyFill="1" applyBorder="1"/>
    <xf numFmtId="2" fontId="0" fillId="12" borderId="2" xfId="0" applyNumberFormat="1" applyFont="1" applyFill="1" applyBorder="1"/>
    <xf numFmtId="2" fontId="6" fillId="12" borderId="2" xfId="0" applyNumberFormat="1" applyFont="1" applyFill="1" applyBorder="1" applyAlignment="1">
      <alignment horizontal="right"/>
    </xf>
    <xf numFmtId="43" fontId="0" fillId="0" borderId="0" xfId="0" applyNumberFormat="1"/>
    <xf numFmtId="0" fontId="7" fillId="0" borderId="3" xfId="0" applyFont="1" applyFill="1" applyBorder="1" applyAlignment="1">
      <alignment horizontal="center"/>
    </xf>
    <xf numFmtId="0" fontId="7" fillId="0" borderId="4" xfId="0" applyFont="1" applyFill="1" applyBorder="1" applyAlignment="1">
      <alignment horizontal="center"/>
    </xf>
    <xf numFmtId="49" fontId="7" fillId="0" borderId="4" xfId="0" applyNumberFormat="1" applyFont="1" applyFill="1" applyBorder="1" applyAlignment="1">
      <alignment horizontal="center"/>
    </xf>
    <xf numFmtId="0" fontId="7" fillId="0" borderId="2" xfId="0" applyFont="1" applyFill="1" applyBorder="1" applyAlignment="1">
      <alignment horizontal="center"/>
    </xf>
    <xf numFmtId="2" fontId="7" fillId="0" borderId="2" xfId="0" applyNumberFormat="1" applyFont="1" applyFill="1" applyBorder="1" applyAlignment="1">
      <alignment horizontal="center"/>
    </xf>
    <xf numFmtId="49" fontId="7" fillId="0" borderId="2" xfId="0" applyNumberFormat="1" applyFont="1" applyFill="1" applyBorder="1" applyAlignment="1">
      <alignment horizontal="center"/>
    </xf>
    <xf numFmtId="0" fontId="7" fillId="0" borderId="2" xfId="0" applyFont="1" applyFill="1" applyBorder="1"/>
    <xf numFmtId="0" fontId="7" fillId="0" borderId="2" xfId="0" applyFont="1" applyFill="1" applyBorder="1" applyAlignment="1">
      <alignment wrapText="1"/>
    </xf>
    <xf numFmtId="14" fontId="0" fillId="0" borderId="2" xfId="0" applyNumberFormat="1" applyFont="1" applyFill="1" applyBorder="1"/>
    <xf numFmtId="0" fontId="6" fillId="0" borderId="2" xfId="0" applyFont="1" applyFill="1" applyBorder="1" applyAlignment="1">
      <alignment horizontal="left"/>
    </xf>
    <xf numFmtId="1" fontId="0" fillId="0" borderId="2" xfId="0" applyNumberFormat="1" applyFont="1" applyFill="1" applyBorder="1"/>
    <xf numFmtId="2" fontId="25" fillId="0" borderId="2" xfId="0" applyNumberFormat="1" applyFont="1" applyFill="1" applyBorder="1"/>
    <xf numFmtId="0" fontId="25" fillId="0" borderId="2" xfId="0" applyFont="1" applyFill="1" applyBorder="1"/>
    <xf numFmtId="0" fontId="25" fillId="0" borderId="2" xfId="0" applyFont="1" applyFill="1" applyBorder="1" applyAlignment="1">
      <alignment horizontal="left"/>
    </xf>
    <xf numFmtId="2" fontId="25" fillId="0" borderId="9" xfId="0" applyNumberFormat="1" applyFont="1" applyBorder="1" applyAlignment="1">
      <alignment horizontal="right"/>
    </xf>
    <xf numFmtId="0" fontId="26" fillId="0" borderId="2" xfId="2" applyFont="1" applyBorder="1"/>
    <xf numFmtId="2" fontId="26" fillId="0" borderId="2" xfId="2" applyNumberFormat="1" applyFont="1" applyBorder="1" applyAlignment="1">
      <alignment horizontal="right"/>
    </xf>
    <xf numFmtId="0" fontId="26" fillId="10" borderId="2" xfId="0" applyFont="1" applyFill="1" applyBorder="1" applyAlignment="1">
      <alignment horizontal="right"/>
    </xf>
    <xf numFmtId="44" fontId="32" fillId="0" borderId="0" xfId="0" applyNumberFormat="1" applyFont="1" applyBorder="1"/>
    <xf numFmtId="44" fontId="28" fillId="0" borderId="0" xfId="3" applyFont="1"/>
    <xf numFmtId="44" fontId="31" fillId="0" borderId="1" xfId="3" applyFont="1" applyBorder="1"/>
    <xf numFmtId="2" fontId="0" fillId="0" borderId="0" xfId="0" applyNumberFormat="1" applyFill="1"/>
    <xf numFmtId="44" fontId="0" fillId="0" borderId="0" xfId="0" applyNumberFormat="1" applyFill="1"/>
    <xf numFmtId="4" fontId="0" fillId="0" borderId="0" xfId="0" applyNumberFormat="1" applyFill="1"/>
    <xf numFmtId="44" fontId="28" fillId="0" borderId="0" xfId="3" applyFont="1" applyFill="1"/>
    <xf numFmtId="44" fontId="32" fillId="0" borderId="0" xfId="3" applyFont="1" applyFill="1" applyBorder="1"/>
    <xf numFmtId="0" fontId="28" fillId="0" borderId="0" xfId="0" applyFont="1" applyBorder="1"/>
    <xf numFmtId="2" fontId="0" fillId="0" borderId="0" xfId="0" applyNumberFormat="1" applyBorder="1"/>
    <xf numFmtId="8" fontId="0" fillId="0" borderId="0" xfId="0" applyNumberFormat="1" applyBorder="1"/>
    <xf numFmtId="44" fontId="0" fillId="0" borderId="2" xfId="0" applyNumberFormat="1" applyFill="1" applyBorder="1"/>
    <xf numFmtId="44" fontId="28" fillId="0" borderId="4" xfId="3" applyFont="1" applyBorder="1"/>
    <xf numFmtId="44" fontId="28" fillId="0" borderId="0" xfId="3" applyFont="1" applyBorder="1"/>
    <xf numFmtId="44" fontId="33" fillId="0" borderId="0" xfId="3" applyFont="1" applyBorder="1"/>
    <xf numFmtId="44" fontId="25" fillId="0" borderId="0" xfId="3" applyFont="1"/>
    <xf numFmtId="44" fontId="28" fillId="0" borderId="10" xfId="3" applyFont="1" applyBorder="1"/>
    <xf numFmtId="44" fontId="28" fillId="0" borderId="0" xfId="3" applyFont="1" applyAlignment="1"/>
    <xf numFmtId="44" fontId="28" fillId="0" borderId="0" xfId="3" applyFont="1" applyAlignment="1">
      <alignment vertical="top"/>
    </xf>
    <xf numFmtId="44" fontId="28" fillId="0" borderId="11" xfId="3" applyFont="1" applyBorder="1"/>
    <xf numFmtId="44" fontId="32" fillId="0" borderId="0" xfId="3" applyFont="1" applyBorder="1"/>
    <xf numFmtId="44" fontId="0" fillId="0" borderId="0" xfId="3" applyFont="1"/>
    <xf numFmtId="2" fontId="0" fillId="0" borderId="2" xfId="0" applyNumberFormat="1" applyBorder="1"/>
    <xf numFmtId="2" fontId="36" fillId="0" borderId="2" xfId="0" applyNumberFormat="1" applyFont="1" applyBorder="1"/>
    <xf numFmtId="2" fontId="36" fillId="0" borderId="2" xfId="0" applyNumberFormat="1" applyFont="1" applyFill="1" applyBorder="1"/>
    <xf numFmtId="2" fontId="36" fillId="0" borderId="2" xfId="2" applyNumberFormat="1" applyFont="1" applyBorder="1" applyAlignment="1">
      <alignment horizontal="right"/>
    </xf>
    <xf numFmtId="2" fontId="25" fillId="3" borderId="2" xfId="0" applyNumberFormat="1" applyFont="1" applyFill="1" applyBorder="1"/>
    <xf numFmtId="2" fontId="25" fillId="3" borderId="9" xfId="0" applyNumberFormat="1" applyFont="1" applyFill="1" applyBorder="1"/>
    <xf numFmtId="2" fontId="0" fillId="3" borderId="2" xfId="0" applyNumberFormat="1" applyFill="1" applyBorder="1"/>
    <xf numFmtId="0" fontId="25" fillId="0" borderId="0" xfId="0" applyFont="1" applyFill="1" applyBorder="1"/>
    <xf numFmtId="0" fontId="0" fillId="0" borderId="2" xfId="0" applyBorder="1" applyAlignment="1">
      <alignment wrapText="1"/>
    </xf>
    <xf numFmtId="10" fontId="0" fillId="0" borderId="0" xfId="0" applyNumberFormat="1"/>
    <xf numFmtId="9" fontId="0" fillId="0" borderId="0" xfId="0" applyNumberFormat="1"/>
    <xf numFmtId="2" fontId="0" fillId="10" borderId="9" xfId="0" applyNumberFormat="1" applyFont="1" applyFill="1" applyBorder="1" applyAlignment="1">
      <alignment horizontal="right"/>
    </xf>
    <xf numFmtId="2" fontId="25" fillId="0" borderId="0" xfId="2" applyNumberFormat="1" applyFont="1" applyFill="1" applyBorder="1" applyAlignment="1">
      <alignment horizontal="right"/>
    </xf>
    <xf numFmtId="0" fontId="0" fillId="0" borderId="0" xfId="0" applyAlignment="1">
      <alignment horizontal="left"/>
    </xf>
    <xf numFmtId="2" fontId="0" fillId="0" borderId="9" xfId="0" applyNumberFormat="1" applyFont="1" applyFill="1" applyBorder="1"/>
    <xf numFmtId="0" fontId="0" fillId="0" borderId="2" xfId="0" applyFill="1" applyBorder="1" applyAlignment="1">
      <alignment horizontal="center"/>
    </xf>
    <xf numFmtId="0" fontId="24" fillId="0" borderId="0" xfId="0" applyFont="1" applyBorder="1" applyAlignment="1">
      <alignment horizontal="left" wrapText="1" indent="1"/>
    </xf>
    <xf numFmtId="0" fontId="24" fillId="0" borderId="0" xfId="0" applyFont="1" applyBorder="1" applyAlignment="1">
      <alignment horizontal="center" wrapText="1"/>
    </xf>
    <xf numFmtId="14" fontId="4" fillId="0" borderId="0" xfId="0" applyNumberFormat="1" applyFont="1" applyBorder="1"/>
    <xf numFmtId="0" fontId="0" fillId="0" borderId="0" xfId="0" applyBorder="1" applyAlignment="1">
      <alignment horizontal="center"/>
    </xf>
    <xf numFmtId="0" fontId="4" fillId="0" borderId="0" xfId="0" applyFont="1" applyBorder="1" applyAlignment="1">
      <alignment horizontal="center"/>
    </xf>
    <xf numFmtId="44" fontId="0" fillId="0" borderId="0" xfId="0" applyNumberFormat="1" applyBorder="1"/>
    <xf numFmtId="0" fontId="0" fillId="0" borderId="0" xfId="0" applyFill="1" applyBorder="1" applyAlignment="1">
      <alignment horizontal="center"/>
    </xf>
    <xf numFmtId="0" fontId="4" fillId="0" borderId="0" xfId="0" applyNumberFormat="1" applyFont="1" applyBorder="1" applyAlignment="1">
      <alignment horizontal="center"/>
    </xf>
    <xf numFmtId="0" fontId="0" fillId="0" borderId="0" xfId="0" applyFill="1" applyBorder="1"/>
    <xf numFmtId="1" fontId="0" fillId="0" borderId="0" xfId="0" applyNumberFormat="1" applyFont="1" applyFill="1" applyBorder="1"/>
    <xf numFmtId="2" fontId="0" fillId="0" borderId="0" xfId="0" applyNumberFormat="1" applyFill="1" applyBorder="1"/>
    <xf numFmtId="2" fontId="7" fillId="0" borderId="4" xfId="0" applyNumberFormat="1" applyFont="1" applyFill="1" applyBorder="1" applyAlignment="1">
      <alignment horizontal="center"/>
    </xf>
    <xf numFmtId="2" fontId="7" fillId="0" borderId="2" xfId="0" applyNumberFormat="1" applyFont="1" applyFill="1" applyBorder="1"/>
    <xf numFmtId="0" fontId="0" fillId="0" borderId="2" xfId="0" applyFont="1" applyBorder="1" applyAlignment="1">
      <alignment wrapText="1"/>
    </xf>
    <xf numFmtId="0" fontId="0" fillId="0" borderId="0" xfId="0" applyFont="1" applyAlignment="1">
      <alignment wrapText="1"/>
    </xf>
    <xf numFmtId="44" fontId="0" fillId="0" borderId="0" xfId="3" applyFont="1" applyBorder="1"/>
    <xf numFmtId="0" fontId="26" fillId="0" borderId="2" xfId="2" applyFont="1" applyFill="1" applyBorder="1" applyAlignment="1">
      <alignment horizontal="center" wrapText="1"/>
    </xf>
    <xf numFmtId="168" fontId="0" fillId="0" borderId="0" xfId="0" applyNumberFormat="1"/>
    <xf numFmtId="1" fontId="0" fillId="0" borderId="2" xfId="0" applyNumberFormat="1" applyBorder="1"/>
    <xf numFmtId="2" fontId="25" fillId="10" borderId="9" xfId="0" applyNumberFormat="1" applyFont="1" applyFill="1" applyBorder="1" applyAlignment="1">
      <alignment horizontal="right"/>
    </xf>
    <xf numFmtId="1" fontId="25" fillId="0" borderId="0" xfId="0" applyNumberFormat="1" applyFont="1" applyFill="1" applyBorder="1"/>
    <xf numFmtId="14" fontId="0" fillId="0" borderId="13" xfId="0" applyNumberFormat="1" applyFont="1" applyFill="1" applyBorder="1"/>
    <xf numFmtId="2" fontId="0" fillId="0" borderId="13" xfId="0" applyNumberFormat="1" applyFont="1" applyFill="1" applyBorder="1"/>
    <xf numFmtId="2" fontId="25" fillId="0" borderId="2" xfId="0" applyNumberFormat="1" applyFont="1" applyFill="1" applyBorder="1" applyAlignment="1">
      <alignment horizontal="right"/>
    </xf>
    <xf numFmtId="14" fontId="25" fillId="0" borderId="2" xfId="0" applyNumberFormat="1" applyFont="1" applyFill="1" applyBorder="1" applyAlignment="1">
      <alignment horizontal="center"/>
    </xf>
    <xf numFmtId="0" fontId="26" fillId="0" borderId="2" xfId="0" applyFont="1" applyFill="1" applyBorder="1" applyAlignment="1">
      <alignment horizontal="center"/>
    </xf>
    <xf numFmtId="2" fontId="25" fillId="0" borderId="2" xfId="0" applyNumberFormat="1" applyFont="1" applyFill="1" applyBorder="1" applyAlignment="1"/>
    <xf numFmtId="0" fontId="25" fillId="0" borderId="2" xfId="2" applyFont="1" applyFill="1" applyBorder="1"/>
    <xf numFmtId="14" fontId="25" fillId="0" borderId="2" xfId="0" applyNumberFormat="1" applyFont="1" applyFill="1" applyBorder="1"/>
    <xf numFmtId="2" fontId="25" fillId="0" borderId="2" xfId="2" applyNumberFormat="1" applyFont="1" applyFill="1" applyBorder="1" applyAlignment="1">
      <alignment horizontal="right"/>
    </xf>
    <xf numFmtId="0" fontId="0" fillId="0" borderId="2" xfId="0" applyFont="1" applyFill="1" applyBorder="1" applyAlignment="1">
      <alignment horizontal="center"/>
    </xf>
    <xf numFmtId="49" fontId="25" fillId="0" borderId="2" xfId="0" applyNumberFormat="1" applyFont="1" applyFill="1" applyBorder="1" applyAlignment="1">
      <alignment horizontal="center"/>
    </xf>
    <xf numFmtId="2" fontId="25" fillId="0" borderId="2" xfId="0" applyNumberFormat="1" applyFont="1" applyFill="1" applyBorder="1" applyAlignment="1">
      <alignment horizontal="center"/>
    </xf>
    <xf numFmtId="14" fontId="25" fillId="0" borderId="2" xfId="0" applyNumberFormat="1" applyFont="1" applyFill="1" applyBorder="1" applyAlignment="1">
      <alignment horizontal="right"/>
    </xf>
    <xf numFmtId="2" fontId="15" fillId="0" borderId="0" xfId="0" applyNumberFormat="1" applyFont="1"/>
    <xf numFmtId="2" fontId="22" fillId="0" borderId="10" xfId="0" applyNumberFormat="1" applyFont="1" applyBorder="1"/>
    <xf numFmtId="0" fontId="0" fillId="0" borderId="0" xfId="0" applyFont="1" applyAlignment="1">
      <alignment vertical="center"/>
    </xf>
    <xf numFmtId="0" fontId="0" fillId="0" borderId="0" xfId="0" applyFont="1" applyFill="1" applyAlignment="1">
      <alignment vertical="center"/>
    </xf>
    <xf numFmtId="0" fontId="37" fillId="0" borderId="0" xfId="0" applyFont="1"/>
    <xf numFmtId="0" fontId="0" fillId="5" borderId="2" xfId="0" applyFont="1" applyFill="1" applyBorder="1" applyAlignment="1">
      <alignment wrapText="1"/>
    </xf>
    <xf numFmtId="0" fontId="0" fillId="8" borderId="2" xfId="0" applyFont="1" applyFill="1" applyBorder="1" applyAlignment="1">
      <alignment wrapText="1"/>
    </xf>
    <xf numFmtId="0" fontId="35" fillId="9" borderId="2" xfId="0" applyFont="1" applyFill="1" applyBorder="1" applyAlignment="1">
      <alignment horizontal="center" wrapText="1"/>
    </xf>
    <xf numFmtId="0" fontId="3" fillId="0" borderId="13" xfId="0" applyFont="1" applyBorder="1"/>
    <xf numFmtId="0" fontId="25" fillId="0" borderId="12" xfId="0" applyFont="1" applyFill="1" applyBorder="1" applyAlignment="1">
      <alignment horizontal="left"/>
    </xf>
    <xf numFmtId="14" fontId="0" fillId="0" borderId="0" xfId="0" applyNumberFormat="1" applyFont="1" applyFill="1" applyBorder="1"/>
    <xf numFmtId="2" fontId="35" fillId="0" borderId="2" xfId="0" applyNumberFormat="1" applyFont="1" applyBorder="1"/>
    <xf numFmtId="0" fontId="4" fillId="0" borderId="0" xfId="0" applyFont="1" applyFill="1" applyBorder="1" applyAlignment="1">
      <alignment horizontal="center"/>
    </xf>
    <xf numFmtId="2" fontId="35" fillId="0" borderId="0" xfId="0" applyNumberFormat="1" applyFont="1" applyBorder="1"/>
    <xf numFmtId="1" fontId="4" fillId="0" borderId="0" xfId="0" applyNumberFormat="1" applyFont="1" applyBorder="1" applyAlignment="1">
      <alignment horizontal="center"/>
    </xf>
    <xf numFmtId="0" fontId="39" fillId="0" borderId="0" xfId="0" applyFont="1"/>
    <xf numFmtId="0" fontId="42" fillId="0" borderId="0" xfId="0" applyFont="1"/>
    <xf numFmtId="0" fontId="44" fillId="0" borderId="0" xfId="0" applyFont="1"/>
    <xf numFmtId="0" fontId="45" fillId="0" borderId="14" xfId="0" applyFont="1" applyBorder="1" applyAlignment="1">
      <alignment vertical="top" wrapText="1"/>
    </xf>
    <xf numFmtId="0" fontId="45" fillId="0" borderId="15" xfId="0" applyFont="1" applyBorder="1" applyAlignment="1">
      <alignment vertical="top" wrapText="1"/>
    </xf>
    <xf numFmtId="0" fontId="45" fillId="0" borderId="19" xfId="0" applyFont="1" applyBorder="1" applyAlignment="1">
      <alignment vertical="top" wrapText="1"/>
    </xf>
    <xf numFmtId="0" fontId="45" fillId="0" borderId="20" xfId="0" applyFont="1" applyBorder="1" applyAlignment="1">
      <alignment vertical="top" wrapText="1"/>
    </xf>
    <xf numFmtId="0" fontId="45" fillId="0" borderId="20" xfId="0" applyFont="1" applyBorder="1" applyAlignment="1">
      <alignment horizontal="center" vertical="top" wrapText="1"/>
    </xf>
    <xf numFmtId="0" fontId="46" fillId="0" borderId="19" xfId="0" applyFont="1" applyBorder="1" applyAlignment="1">
      <alignment vertical="top" wrapText="1"/>
    </xf>
    <xf numFmtId="0" fontId="46" fillId="0" borderId="20" xfId="0" applyFont="1" applyBorder="1" applyAlignment="1">
      <alignment vertical="top" wrapText="1"/>
    </xf>
    <xf numFmtId="0" fontId="46" fillId="0" borderId="20" xfId="0" applyFont="1" applyBorder="1" applyAlignment="1">
      <alignment horizontal="center" vertical="top" wrapText="1"/>
    </xf>
    <xf numFmtId="2" fontId="46" fillId="0" borderId="20" xfId="0" applyNumberFormat="1" applyFont="1" applyBorder="1" applyAlignment="1">
      <alignment horizontal="right" vertical="top" wrapText="1"/>
    </xf>
    <xf numFmtId="0" fontId="2" fillId="0" borderId="0" xfId="0" applyFont="1" applyAlignment="1">
      <alignment horizontal="right"/>
    </xf>
    <xf numFmtId="0" fontId="42" fillId="0" borderId="0" xfId="0" applyFont="1" applyAlignment="1">
      <alignment horizontal="left"/>
    </xf>
    <xf numFmtId="0" fontId="30" fillId="0" borderId="0" xfId="0" applyFont="1" applyBorder="1"/>
    <xf numFmtId="0" fontId="46" fillId="0" borderId="0" xfId="0" applyFont="1" applyBorder="1" applyAlignment="1">
      <alignment vertical="top" wrapText="1"/>
    </xf>
    <xf numFmtId="0" fontId="46" fillId="0" borderId="0" xfId="0" applyFont="1" applyBorder="1" applyAlignment="1">
      <alignment horizontal="center" vertical="top" wrapText="1"/>
    </xf>
    <xf numFmtId="2" fontId="46" fillId="0" borderId="0" xfId="0" applyNumberFormat="1" applyFont="1" applyBorder="1" applyAlignment="1">
      <alignment horizontal="right" vertical="top" wrapText="1"/>
    </xf>
    <xf numFmtId="0" fontId="0" fillId="0" borderId="13" xfId="0" applyFill="1" applyBorder="1" applyAlignment="1">
      <alignment horizontal="center"/>
    </xf>
    <xf numFmtId="0" fontId="0" fillId="0" borderId="9" xfId="0" applyFill="1" applyBorder="1" applyAlignment="1">
      <alignment horizontal="center"/>
    </xf>
    <xf numFmtId="15" fontId="2" fillId="0" borderId="0" xfId="0" applyNumberFormat="1" applyFont="1" applyAlignment="1">
      <alignment horizontal="right"/>
    </xf>
    <xf numFmtId="0" fontId="7" fillId="0" borderId="3" xfId="0" applyFont="1" applyFill="1" applyBorder="1" applyAlignment="1">
      <alignment horizontal="center"/>
    </xf>
    <xf numFmtId="0" fontId="7" fillId="0" borderId="4" xfId="0" applyFont="1" applyFill="1" applyBorder="1" applyAlignment="1">
      <alignment horizontal="center"/>
    </xf>
    <xf numFmtId="0" fontId="7" fillId="0" borderId="5" xfId="0" applyFont="1" applyFill="1" applyBorder="1" applyAlignment="1">
      <alignment horizontal="center"/>
    </xf>
    <xf numFmtId="0" fontId="11" fillId="3" borderId="3" xfId="0" applyFont="1" applyFill="1" applyBorder="1" applyAlignment="1">
      <alignment horizontal="left" wrapText="1"/>
    </xf>
    <xf numFmtId="0" fontId="11" fillId="3" borderId="4" xfId="0" applyFont="1" applyFill="1" applyBorder="1" applyAlignment="1">
      <alignment horizontal="left" wrapText="1"/>
    </xf>
    <xf numFmtId="0" fontId="11" fillId="3" borderId="5" xfId="0" applyFont="1" applyFill="1" applyBorder="1" applyAlignment="1">
      <alignment horizontal="left" wrapText="1"/>
    </xf>
    <xf numFmtId="0" fontId="11" fillId="3" borderId="3" xfId="0" applyFont="1" applyFill="1" applyBorder="1" applyAlignment="1">
      <alignment horizontal="left"/>
    </xf>
    <xf numFmtId="0" fontId="11" fillId="3" borderId="4" xfId="0" applyFont="1" applyFill="1" applyBorder="1" applyAlignment="1">
      <alignment horizontal="left"/>
    </xf>
    <xf numFmtId="0" fontId="11" fillId="3" borderId="5" xfId="0" applyFont="1" applyFill="1" applyBorder="1" applyAlignment="1">
      <alignment horizontal="left"/>
    </xf>
    <xf numFmtId="0" fontId="0" fillId="0" borderId="0" xfId="0" applyFont="1" applyAlignment="1">
      <alignment vertical="center"/>
    </xf>
    <xf numFmtId="0" fontId="14" fillId="0" borderId="0" xfId="0" applyFont="1" applyBorder="1" applyAlignment="1">
      <alignment horizontal="left" vertical="center"/>
    </xf>
    <xf numFmtId="0" fontId="15" fillId="0" borderId="0" xfId="0" applyFont="1" applyBorder="1" applyAlignment="1">
      <alignment horizontal="left" vertical="center"/>
    </xf>
    <xf numFmtId="3" fontId="2" fillId="4" borderId="0" xfId="0" applyNumberFormat="1" applyFont="1" applyFill="1" applyBorder="1" applyAlignment="1" applyProtection="1">
      <alignment horizontal="center"/>
      <protection locked="0"/>
    </xf>
    <xf numFmtId="0" fontId="20" fillId="0" borderId="0" xfId="0" applyFont="1" applyAlignment="1">
      <alignment horizontal="left" vertical="center" wrapText="1"/>
    </xf>
    <xf numFmtId="0" fontId="20"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wrapText="1"/>
    </xf>
    <xf numFmtId="0" fontId="0" fillId="0" borderId="8" xfId="0" applyFont="1" applyBorder="1" applyAlignment="1">
      <alignment wrapText="1"/>
    </xf>
    <xf numFmtId="0" fontId="0" fillId="0" borderId="0" xfId="0" applyFont="1" applyAlignment="1">
      <alignment vertical="center" wrapText="1"/>
    </xf>
    <xf numFmtId="0" fontId="0" fillId="0" borderId="8" xfId="0" applyFont="1" applyBorder="1" applyAlignment="1">
      <alignment vertical="center" wrapText="1"/>
    </xf>
    <xf numFmtId="0" fontId="27" fillId="0" borderId="0" xfId="0" applyFont="1" applyAlignment="1">
      <alignment horizontal="center"/>
    </xf>
    <xf numFmtId="0" fontId="40" fillId="0" borderId="0" xfId="0" applyFont="1" applyAlignment="1">
      <alignment horizontal="center"/>
    </xf>
    <xf numFmtId="0" fontId="41" fillId="0" borderId="0" xfId="0" applyFont="1" applyAlignment="1">
      <alignment horizontal="center"/>
    </xf>
    <xf numFmtId="0" fontId="45" fillId="0" borderId="14" xfId="0" applyFont="1" applyBorder="1" applyAlignment="1">
      <alignment horizontal="center" vertical="top" wrapText="1"/>
    </xf>
    <xf numFmtId="0" fontId="45" fillId="0" borderId="19" xfId="0" applyFont="1" applyBorder="1" applyAlignment="1">
      <alignment horizontal="center" vertical="top" wrapText="1"/>
    </xf>
    <xf numFmtId="0" fontId="45" fillId="0" borderId="16" xfId="0" applyFont="1" applyBorder="1" applyAlignment="1">
      <alignment horizontal="center" vertical="top" wrapText="1"/>
    </xf>
    <xf numFmtId="0" fontId="45" fillId="0" borderId="17" xfId="0" applyFont="1" applyBorder="1" applyAlignment="1">
      <alignment horizontal="center" vertical="top" wrapText="1"/>
    </xf>
    <xf numFmtId="0" fontId="45" fillId="0" borderId="18" xfId="0" applyFont="1" applyBorder="1" applyAlignment="1">
      <alignment horizontal="center" vertical="top" wrapText="1"/>
    </xf>
    <xf numFmtId="0" fontId="5" fillId="0" borderId="2" xfId="0" applyFont="1" applyBorder="1" applyAlignment="1">
      <alignment horizontal="center"/>
    </xf>
  </cellXfs>
  <cellStyles count="4">
    <cellStyle name="Comma" xfId="1" builtinId="3"/>
    <cellStyle name="Currency" xfId="3" builtinId="4"/>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376856</xdr:colOff>
      <xdr:row>24</xdr:row>
      <xdr:rowOff>50071</xdr:rowOff>
    </xdr:from>
    <xdr:to>
      <xdr:col>3</xdr:col>
      <xdr:colOff>182639</xdr:colOff>
      <xdr:row>27</xdr:row>
      <xdr:rowOff>107221</xdr:rowOff>
    </xdr:to>
    <xdr:pic>
      <xdr:nvPicPr>
        <xdr:cNvPr id="4" name="Picture 0" descr="Tracey signature (2).jpg"/>
        <xdr:cNvPicPr>
          <a:picLocks noChangeAspect="1" noChangeArrowheads="1"/>
        </xdr:cNvPicPr>
      </xdr:nvPicPr>
      <xdr:blipFill>
        <a:blip xmlns:r="http://schemas.openxmlformats.org/officeDocument/2006/relationships" r:embed="rId1" cstate="print"/>
        <a:srcRect/>
        <a:stretch>
          <a:fillRect/>
        </a:stretch>
      </xdr:blipFill>
      <xdr:spPr bwMode="auto">
        <a:xfrm rot="815028">
          <a:off x="1767506" y="4984021"/>
          <a:ext cx="1558383" cy="6858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368055</xdr:colOff>
      <xdr:row>16</xdr:row>
      <xdr:rowOff>123971</xdr:rowOff>
    </xdr:from>
    <xdr:to>
      <xdr:col>2</xdr:col>
      <xdr:colOff>1753187</xdr:colOff>
      <xdr:row>19</xdr:row>
      <xdr:rowOff>76462</xdr:rowOff>
    </xdr:to>
    <xdr:pic>
      <xdr:nvPicPr>
        <xdr:cNvPr id="2" name="Picture 0" descr="Tracey signature (2).jpg"/>
        <xdr:cNvPicPr>
          <a:picLocks noChangeAspect="1" noChangeArrowheads="1"/>
        </xdr:cNvPicPr>
      </xdr:nvPicPr>
      <xdr:blipFill>
        <a:blip xmlns:r="http://schemas.openxmlformats.org/officeDocument/2006/relationships" r:embed="rId1" cstate="print"/>
        <a:srcRect/>
        <a:stretch>
          <a:fillRect/>
        </a:stretch>
      </xdr:blipFill>
      <xdr:spPr bwMode="auto">
        <a:xfrm rot="815028">
          <a:off x="1796805" y="3457721"/>
          <a:ext cx="1385132" cy="58114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368055</xdr:colOff>
      <xdr:row>15</xdr:row>
      <xdr:rowOff>123971</xdr:rowOff>
    </xdr:from>
    <xdr:to>
      <xdr:col>2</xdr:col>
      <xdr:colOff>1753187</xdr:colOff>
      <xdr:row>18</xdr:row>
      <xdr:rowOff>76462</xdr:rowOff>
    </xdr:to>
    <xdr:pic>
      <xdr:nvPicPr>
        <xdr:cNvPr id="2" name="Picture 0" descr="Tracey signature (2).jpg"/>
        <xdr:cNvPicPr>
          <a:picLocks noChangeAspect="1" noChangeArrowheads="1"/>
        </xdr:cNvPicPr>
      </xdr:nvPicPr>
      <xdr:blipFill>
        <a:blip xmlns:r="http://schemas.openxmlformats.org/officeDocument/2006/relationships" r:embed="rId1" cstate="print"/>
        <a:srcRect/>
        <a:stretch>
          <a:fillRect/>
        </a:stretch>
      </xdr:blipFill>
      <xdr:spPr bwMode="auto">
        <a:xfrm rot="815028">
          <a:off x="1796805" y="3457721"/>
          <a:ext cx="1385132" cy="58114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368055</xdr:colOff>
      <xdr:row>15</xdr:row>
      <xdr:rowOff>123971</xdr:rowOff>
    </xdr:from>
    <xdr:to>
      <xdr:col>2</xdr:col>
      <xdr:colOff>1753187</xdr:colOff>
      <xdr:row>18</xdr:row>
      <xdr:rowOff>76462</xdr:rowOff>
    </xdr:to>
    <xdr:pic>
      <xdr:nvPicPr>
        <xdr:cNvPr id="2" name="Picture 0" descr="Tracey signature (2).jpg"/>
        <xdr:cNvPicPr>
          <a:picLocks noChangeAspect="1" noChangeArrowheads="1"/>
        </xdr:cNvPicPr>
      </xdr:nvPicPr>
      <xdr:blipFill>
        <a:blip xmlns:r="http://schemas.openxmlformats.org/officeDocument/2006/relationships" r:embed="rId1" cstate="print"/>
        <a:srcRect/>
        <a:stretch>
          <a:fillRect/>
        </a:stretch>
      </xdr:blipFill>
      <xdr:spPr bwMode="auto">
        <a:xfrm rot="815028">
          <a:off x="2349255" y="3419621"/>
          <a:ext cx="1385132" cy="60019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368055</xdr:colOff>
      <xdr:row>16</xdr:row>
      <xdr:rowOff>123971</xdr:rowOff>
    </xdr:from>
    <xdr:to>
      <xdr:col>2</xdr:col>
      <xdr:colOff>1753187</xdr:colOff>
      <xdr:row>19</xdr:row>
      <xdr:rowOff>76462</xdr:rowOff>
    </xdr:to>
    <xdr:pic>
      <xdr:nvPicPr>
        <xdr:cNvPr id="2" name="Picture 0" descr="Tracey signature (2).jpg"/>
        <xdr:cNvPicPr>
          <a:picLocks noChangeAspect="1" noChangeArrowheads="1"/>
        </xdr:cNvPicPr>
      </xdr:nvPicPr>
      <xdr:blipFill>
        <a:blip xmlns:r="http://schemas.openxmlformats.org/officeDocument/2006/relationships" r:embed="rId1" cstate="print"/>
        <a:srcRect/>
        <a:stretch>
          <a:fillRect/>
        </a:stretch>
      </xdr:blipFill>
      <xdr:spPr bwMode="auto">
        <a:xfrm rot="815028">
          <a:off x="2044455" y="3257696"/>
          <a:ext cx="1385132" cy="58114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368055</xdr:colOff>
      <xdr:row>13</xdr:row>
      <xdr:rowOff>123971</xdr:rowOff>
    </xdr:from>
    <xdr:to>
      <xdr:col>2</xdr:col>
      <xdr:colOff>1753187</xdr:colOff>
      <xdr:row>16</xdr:row>
      <xdr:rowOff>76462</xdr:rowOff>
    </xdr:to>
    <xdr:pic>
      <xdr:nvPicPr>
        <xdr:cNvPr id="2" name="Picture 0" descr="Tracey signature (2).jpg"/>
        <xdr:cNvPicPr>
          <a:picLocks noChangeAspect="1" noChangeArrowheads="1"/>
        </xdr:cNvPicPr>
      </xdr:nvPicPr>
      <xdr:blipFill>
        <a:blip xmlns:r="http://schemas.openxmlformats.org/officeDocument/2006/relationships" r:embed="rId1" cstate="print"/>
        <a:srcRect/>
        <a:stretch>
          <a:fillRect/>
        </a:stretch>
      </xdr:blipFill>
      <xdr:spPr bwMode="auto">
        <a:xfrm rot="815028">
          <a:off x="2053980" y="3448196"/>
          <a:ext cx="842207" cy="581141"/>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368055</xdr:colOff>
      <xdr:row>15</xdr:row>
      <xdr:rowOff>123971</xdr:rowOff>
    </xdr:from>
    <xdr:to>
      <xdr:col>2</xdr:col>
      <xdr:colOff>1753187</xdr:colOff>
      <xdr:row>18</xdr:row>
      <xdr:rowOff>76462</xdr:rowOff>
    </xdr:to>
    <xdr:pic>
      <xdr:nvPicPr>
        <xdr:cNvPr id="2" name="Picture 0" descr="Tracey signature (2).jpg"/>
        <xdr:cNvPicPr>
          <a:picLocks noChangeAspect="1" noChangeArrowheads="1"/>
        </xdr:cNvPicPr>
      </xdr:nvPicPr>
      <xdr:blipFill>
        <a:blip xmlns:r="http://schemas.openxmlformats.org/officeDocument/2006/relationships" r:embed="rId1" cstate="print"/>
        <a:srcRect/>
        <a:stretch>
          <a:fillRect/>
        </a:stretch>
      </xdr:blipFill>
      <xdr:spPr bwMode="auto">
        <a:xfrm rot="815028">
          <a:off x="2482605" y="2848121"/>
          <a:ext cx="927932" cy="581141"/>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368055</xdr:colOff>
      <xdr:row>12</xdr:row>
      <xdr:rowOff>123971</xdr:rowOff>
    </xdr:from>
    <xdr:to>
      <xdr:col>2</xdr:col>
      <xdr:colOff>1753187</xdr:colOff>
      <xdr:row>15</xdr:row>
      <xdr:rowOff>76462</xdr:rowOff>
    </xdr:to>
    <xdr:pic>
      <xdr:nvPicPr>
        <xdr:cNvPr id="2" name="Picture 0" descr="Tracey signature (2).jpg"/>
        <xdr:cNvPicPr>
          <a:picLocks noChangeAspect="1" noChangeArrowheads="1"/>
        </xdr:cNvPicPr>
      </xdr:nvPicPr>
      <xdr:blipFill>
        <a:blip xmlns:r="http://schemas.openxmlformats.org/officeDocument/2006/relationships" r:embed="rId1" cstate="print"/>
        <a:srcRect/>
        <a:stretch>
          <a:fillRect/>
        </a:stretch>
      </xdr:blipFill>
      <xdr:spPr bwMode="auto">
        <a:xfrm rot="815028">
          <a:off x="1796805" y="3457721"/>
          <a:ext cx="1385132" cy="581141"/>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cey/AppData/Roaming/Microsoft/Excel/Users/Tracey/Documents/Sevington%20Parish%20Council/Accounts%202020-21/Sevington%20Accounts%202021-2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urrent Account"/>
      <sheetName val="Bank Reconciliation"/>
      <sheetName val="Variances"/>
      <sheetName val="List of Payments"/>
      <sheetName val="VAT Reclaim"/>
      <sheetName val="Budget 2020-21"/>
      <sheetName val="Budget 21-22"/>
      <sheetName val="Budget over Expenditure 21-22"/>
      <sheetName val="Financial Statement April 2021"/>
      <sheetName val="Financial Statement May 2020"/>
      <sheetName val="Financial Statement June 2021"/>
      <sheetName val="Financial Statement August 2020"/>
      <sheetName val="Financial Statement Septem 2020"/>
      <sheetName val="Financial Statement Octo 2020"/>
      <sheetName val="Financial Statement Dec 2020"/>
      <sheetName val="Sheet1"/>
      <sheetName val="Sheet2"/>
      <sheetName val="Sheet3"/>
      <sheetName val="Sheet4"/>
    </sheetNames>
    <sheetDataSet>
      <sheetData sheetId="0">
        <row r="61">
          <cell r="K61">
            <v>24638.38</v>
          </cell>
        </row>
      </sheetData>
      <sheetData sheetId="1"/>
      <sheetData sheetId="2"/>
      <sheetData sheetId="3"/>
      <sheetData sheetId="4"/>
      <sheetData sheetId="5"/>
      <sheetData sheetId="6"/>
      <sheetData sheetId="7"/>
      <sheetData sheetId="8"/>
      <sheetData sheetId="9"/>
      <sheetData sheetId="10"/>
      <sheetData sheetId="11">
        <row r="33">
          <cell r="C33" t="e">
            <v>#REF!</v>
          </cell>
        </row>
      </sheetData>
      <sheetData sheetId="12"/>
      <sheetData sheetId="13"/>
      <sheetData sheetId="14"/>
      <sheetData sheetId="15">
        <row r="30">
          <cell r="C30">
            <v>14038.740000000002</v>
          </cell>
        </row>
      </sheetData>
      <sheetData sheetId="16"/>
      <sheetData sheetId="17">
        <row r="29">
          <cell r="E29">
            <v>40323.81</v>
          </cell>
        </row>
        <row r="37">
          <cell r="C37">
            <v>15024.320000000002</v>
          </cell>
        </row>
        <row r="42">
          <cell r="C42">
            <v>14556.240000000002</v>
          </cell>
        </row>
      </sheetData>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P69"/>
  <sheetViews>
    <sheetView tabSelected="1" topLeftCell="C1" workbookViewId="0">
      <selection activeCell="F6" sqref="F6:K65"/>
    </sheetView>
  </sheetViews>
  <sheetFormatPr defaultRowHeight="15"/>
  <cols>
    <col min="1" max="1" width="16" bestFit="1" customWidth="1"/>
    <col min="2" max="2" width="14" bestFit="1" customWidth="1"/>
    <col min="3" max="3" width="43.42578125" customWidth="1"/>
    <col min="4" max="4" width="14.28515625" customWidth="1"/>
    <col min="5" max="5" width="2.42578125" customWidth="1"/>
    <col min="6" max="6" width="11.28515625" bestFit="1" customWidth="1"/>
    <col min="7" max="7" width="14.28515625" bestFit="1" customWidth="1"/>
    <col min="8" max="8" width="35.28515625" customWidth="1"/>
    <col min="9" max="9" width="9.5703125" style="98" bestFit="1" customWidth="1"/>
    <col min="10" max="10" width="9.140625" style="98"/>
    <col min="11" max="11" width="9.5703125" style="98" bestFit="1" customWidth="1"/>
    <col min="12" max="12" width="4.42578125" customWidth="1"/>
    <col min="15" max="15" width="9.28515625" bestFit="1" customWidth="1"/>
  </cols>
  <sheetData>
    <row r="1" spans="1:15" ht="15.75" customHeight="1">
      <c r="A1" s="257" t="s">
        <v>116</v>
      </c>
      <c r="B1" s="258"/>
      <c r="C1" s="258"/>
      <c r="D1" s="258"/>
      <c r="E1" s="258"/>
      <c r="F1" s="258"/>
      <c r="G1" s="258"/>
      <c r="H1" s="258"/>
      <c r="I1" s="258"/>
      <c r="J1" s="258"/>
      <c r="K1" s="258"/>
      <c r="L1" s="259"/>
    </row>
    <row r="2" spans="1:15" ht="15.75" customHeight="1">
      <c r="A2" s="131"/>
      <c r="B2" s="132"/>
      <c r="C2" s="132"/>
      <c r="D2" s="132"/>
      <c r="E2" s="132"/>
      <c r="F2" s="132"/>
      <c r="G2" s="133"/>
      <c r="H2" s="132"/>
      <c r="I2" s="198"/>
      <c r="J2" s="198"/>
      <c r="K2" s="198"/>
      <c r="L2" s="132"/>
    </row>
    <row r="3" spans="1:15">
      <c r="A3" s="257" t="s">
        <v>374</v>
      </c>
      <c r="B3" s="258"/>
      <c r="C3" s="258"/>
      <c r="D3" s="258"/>
      <c r="E3" s="258"/>
      <c r="F3" s="258"/>
      <c r="G3" s="258"/>
      <c r="H3" s="258"/>
      <c r="I3" s="258"/>
      <c r="J3" s="258"/>
      <c r="K3" s="258"/>
      <c r="L3" s="259"/>
    </row>
    <row r="4" spans="1:15">
      <c r="A4" s="134"/>
      <c r="B4" s="134"/>
      <c r="C4" s="135"/>
      <c r="D4" s="134"/>
      <c r="E4" s="134"/>
      <c r="F4" s="134"/>
      <c r="G4" s="136"/>
      <c r="H4" s="134"/>
      <c r="I4" s="135"/>
      <c r="J4" s="199"/>
      <c r="K4" s="199"/>
      <c r="L4" s="137"/>
    </row>
    <row r="5" spans="1:15" ht="30">
      <c r="A5" s="134" t="s">
        <v>12</v>
      </c>
      <c r="B5" s="134" t="s">
        <v>13</v>
      </c>
      <c r="C5" s="134" t="s">
        <v>0</v>
      </c>
      <c r="D5" s="134" t="s">
        <v>1</v>
      </c>
      <c r="E5" s="134"/>
      <c r="F5" s="134" t="s">
        <v>12</v>
      </c>
      <c r="G5" s="136" t="s">
        <v>14</v>
      </c>
      <c r="H5" s="134" t="s">
        <v>2</v>
      </c>
      <c r="I5" s="135" t="s">
        <v>1</v>
      </c>
      <c r="J5" s="135" t="s">
        <v>15</v>
      </c>
      <c r="K5" s="199" t="s">
        <v>16</v>
      </c>
      <c r="L5" s="138" t="s">
        <v>17</v>
      </c>
    </row>
    <row r="6" spans="1:15">
      <c r="A6" s="139">
        <v>45383</v>
      </c>
      <c r="B6" s="122"/>
      <c r="C6" s="143" t="s">
        <v>3</v>
      </c>
      <c r="D6" s="210">
        <f>25.85+23527.07</f>
        <v>23552.92</v>
      </c>
      <c r="E6" s="142"/>
      <c r="F6" s="211">
        <v>45397</v>
      </c>
      <c r="G6" s="218" t="s">
        <v>193</v>
      </c>
      <c r="H6" s="144" t="s">
        <v>4</v>
      </c>
      <c r="I6" s="210">
        <v>73.8</v>
      </c>
      <c r="J6" s="219"/>
      <c r="K6" s="100">
        <f t="shared" ref="K6:K23" si="0">I6+J6</f>
        <v>73.8</v>
      </c>
      <c r="L6" s="101">
        <v>1</v>
      </c>
    </row>
    <row r="7" spans="1:15">
      <c r="A7" s="220">
        <v>45412</v>
      </c>
      <c r="B7" s="213"/>
      <c r="C7" s="143" t="s">
        <v>119</v>
      </c>
      <c r="D7" s="210">
        <v>12553</v>
      </c>
      <c r="E7" s="142"/>
      <c r="F7" s="212"/>
      <c r="G7" s="218" t="s">
        <v>193</v>
      </c>
      <c r="H7" s="144" t="s">
        <v>117</v>
      </c>
      <c r="I7" s="210">
        <v>148.72</v>
      </c>
      <c r="J7" s="219"/>
      <c r="K7" s="100">
        <f t="shared" si="0"/>
        <v>148.72</v>
      </c>
      <c r="L7" s="101">
        <v>2</v>
      </c>
      <c r="O7" s="98"/>
    </row>
    <row r="8" spans="1:15">
      <c r="A8" s="220">
        <v>45406</v>
      </c>
      <c r="B8" s="213"/>
      <c r="C8" s="143" t="s">
        <v>166</v>
      </c>
      <c r="D8" s="214">
        <v>2578.04</v>
      </c>
      <c r="E8" s="142"/>
      <c r="F8" s="212"/>
      <c r="G8" s="218" t="s">
        <v>193</v>
      </c>
      <c r="H8" s="144" t="s">
        <v>89</v>
      </c>
      <c r="I8" s="210">
        <v>325.88</v>
      </c>
      <c r="J8" s="219"/>
      <c r="K8" s="100">
        <f t="shared" si="0"/>
        <v>325.88</v>
      </c>
      <c r="L8" s="101">
        <v>3</v>
      </c>
    </row>
    <row r="9" spans="1:15">
      <c r="A9" s="215">
        <v>45467</v>
      </c>
      <c r="B9" s="142"/>
      <c r="C9" s="143" t="s">
        <v>136</v>
      </c>
      <c r="D9" s="210">
        <v>1906.8</v>
      </c>
      <c r="E9" s="142"/>
      <c r="F9" s="212"/>
      <c r="G9" s="218" t="s">
        <v>193</v>
      </c>
      <c r="H9" s="144" t="s">
        <v>238</v>
      </c>
      <c r="I9" s="210">
        <v>454.64</v>
      </c>
      <c r="J9" s="219">
        <f>I9/5</f>
        <v>90.927999999999997</v>
      </c>
      <c r="K9" s="100">
        <f t="shared" si="0"/>
        <v>545.56799999999998</v>
      </c>
      <c r="L9" s="101">
        <v>4</v>
      </c>
    </row>
    <row r="10" spans="1:15">
      <c r="A10" s="139">
        <v>45506</v>
      </c>
      <c r="B10" s="101"/>
      <c r="C10" s="143" t="s">
        <v>136</v>
      </c>
      <c r="D10" s="142">
        <v>1371.15</v>
      </c>
      <c r="E10" s="142"/>
      <c r="F10" s="208">
        <v>45432</v>
      </c>
      <c r="G10" s="254" t="s">
        <v>193</v>
      </c>
      <c r="H10" s="122" t="s">
        <v>4</v>
      </c>
      <c r="I10" s="209">
        <v>74</v>
      </c>
      <c r="J10" s="209"/>
      <c r="K10" s="100">
        <f t="shared" si="0"/>
        <v>74</v>
      </c>
      <c r="L10" s="101">
        <v>5</v>
      </c>
    </row>
    <row r="11" spans="1:15">
      <c r="A11" s="139">
        <v>45565</v>
      </c>
      <c r="B11" s="101"/>
      <c r="C11" s="143" t="s">
        <v>119</v>
      </c>
      <c r="D11" s="210">
        <v>12553</v>
      </c>
      <c r="E11" s="142"/>
      <c r="F11" s="101"/>
      <c r="G11" s="186" t="s">
        <v>193</v>
      </c>
      <c r="H11" s="101" t="s">
        <v>134</v>
      </c>
      <c r="I11" s="100">
        <v>60</v>
      </c>
      <c r="J11" s="100"/>
      <c r="K11" s="100">
        <f t="shared" si="0"/>
        <v>60</v>
      </c>
      <c r="L11" s="101">
        <v>6</v>
      </c>
    </row>
    <row r="12" spans="1:15">
      <c r="A12" s="215"/>
      <c r="B12" s="142"/>
      <c r="C12" s="143" t="s">
        <v>5</v>
      </c>
      <c r="D12" s="210">
        <v>0.41</v>
      </c>
      <c r="E12" s="142"/>
      <c r="F12" s="101"/>
      <c r="G12" s="255" t="s">
        <v>193</v>
      </c>
      <c r="H12" s="230" t="s">
        <v>369</v>
      </c>
      <c r="I12" s="185">
        <v>28.78</v>
      </c>
      <c r="J12" s="100"/>
      <c r="K12" s="100">
        <f t="shared" si="0"/>
        <v>28.78</v>
      </c>
      <c r="L12" s="101">
        <v>7</v>
      </c>
    </row>
    <row r="13" spans="1:15">
      <c r="A13" s="139"/>
      <c r="B13" s="101"/>
      <c r="C13" s="143"/>
      <c r="D13" s="210"/>
      <c r="E13" s="142"/>
      <c r="F13" s="139"/>
      <c r="G13" s="186" t="s">
        <v>193</v>
      </c>
      <c r="H13" s="101" t="s">
        <v>89</v>
      </c>
      <c r="I13" s="100">
        <v>310.68</v>
      </c>
      <c r="J13" s="100"/>
      <c r="K13" s="100">
        <f t="shared" si="0"/>
        <v>310.68</v>
      </c>
      <c r="L13" s="101">
        <v>8</v>
      </c>
    </row>
    <row r="14" spans="1:15">
      <c r="A14" s="139"/>
      <c r="B14" s="101"/>
      <c r="C14" s="143"/>
      <c r="D14" s="210"/>
      <c r="E14" s="142"/>
      <c r="F14" s="139"/>
      <c r="G14" s="186" t="s">
        <v>193</v>
      </c>
      <c r="H14" s="121" t="s">
        <v>117</v>
      </c>
      <c r="I14" s="100">
        <v>148.72</v>
      </c>
      <c r="J14" s="100"/>
      <c r="K14" s="100">
        <f t="shared" si="0"/>
        <v>148.72</v>
      </c>
      <c r="L14" s="101">
        <v>9</v>
      </c>
    </row>
    <row r="15" spans="1:15">
      <c r="A15" s="215"/>
      <c r="B15" s="142"/>
      <c r="C15" s="143"/>
      <c r="D15" s="216"/>
      <c r="E15" s="142"/>
      <c r="F15" s="139"/>
      <c r="G15" s="186" t="s">
        <v>193</v>
      </c>
      <c r="H15" s="121" t="s">
        <v>9</v>
      </c>
      <c r="I15" s="100">
        <v>639.86</v>
      </c>
      <c r="J15" s="100"/>
      <c r="K15" s="100">
        <f t="shared" si="0"/>
        <v>639.86</v>
      </c>
      <c r="L15" s="101">
        <v>10</v>
      </c>
    </row>
    <row r="16" spans="1:15">
      <c r="A16" s="2"/>
      <c r="B16" s="2"/>
      <c r="C16" s="2"/>
      <c r="D16" s="2"/>
      <c r="E16" s="142"/>
      <c r="F16" s="139">
        <v>45449</v>
      </c>
      <c r="G16" s="186" t="s">
        <v>193</v>
      </c>
      <c r="H16" s="121" t="s">
        <v>370</v>
      </c>
      <c r="I16" s="100">
        <v>4345.2</v>
      </c>
      <c r="J16" s="100"/>
      <c r="K16" s="100">
        <f t="shared" si="0"/>
        <v>4345.2</v>
      </c>
      <c r="L16" s="101">
        <v>11</v>
      </c>
    </row>
    <row r="17" spans="1:12">
      <c r="A17" s="139"/>
      <c r="B17" s="101"/>
      <c r="C17" s="143"/>
      <c r="D17" s="210"/>
      <c r="E17" s="142"/>
      <c r="F17" s="101"/>
      <c r="G17" s="186" t="s">
        <v>193</v>
      </c>
      <c r="H17" s="121" t="s">
        <v>371</v>
      </c>
      <c r="I17" s="100">
        <v>953.4</v>
      </c>
      <c r="J17" s="100">
        <f>I17/100*20</f>
        <v>190.67999999999998</v>
      </c>
      <c r="K17" s="100">
        <f t="shared" si="0"/>
        <v>1144.08</v>
      </c>
      <c r="L17" s="101">
        <v>12</v>
      </c>
    </row>
    <row r="18" spans="1:12">
      <c r="A18" s="139"/>
      <c r="B18" s="101"/>
      <c r="C18" s="143"/>
      <c r="D18" s="210"/>
      <c r="E18" s="142"/>
      <c r="F18" s="139"/>
      <c r="G18" s="186" t="s">
        <v>193</v>
      </c>
      <c r="H18" s="121" t="s">
        <v>117</v>
      </c>
      <c r="I18" s="100">
        <v>148.72</v>
      </c>
      <c r="J18" s="100"/>
      <c r="K18" s="100">
        <f t="shared" si="0"/>
        <v>148.72</v>
      </c>
      <c r="L18" s="101">
        <v>13</v>
      </c>
    </row>
    <row r="19" spans="1:12">
      <c r="A19" s="215"/>
      <c r="B19" s="142"/>
      <c r="C19" s="143"/>
      <c r="D19" s="216"/>
      <c r="E19" s="142"/>
      <c r="F19" s="139"/>
      <c r="G19" s="186" t="s">
        <v>193</v>
      </c>
      <c r="H19" s="121" t="s">
        <v>4</v>
      </c>
      <c r="I19" s="100">
        <v>74</v>
      </c>
      <c r="J19" s="100"/>
      <c r="K19" s="100">
        <f t="shared" si="0"/>
        <v>74</v>
      </c>
      <c r="L19" s="101">
        <v>14</v>
      </c>
    </row>
    <row r="20" spans="1:12">
      <c r="A20" s="101"/>
      <c r="B20" s="101"/>
      <c r="C20" s="143"/>
      <c r="D20" s="144"/>
      <c r="E20" s="142"/>
      <c r="F20" s="122"/>
      <c r="G20" s="186" t="s">
        <v>193</v>
      </c>
      <c r="H20" s="121" t="s">
        <v>89</v>
      </c>
      <c r="I20" s="100">
        <v>310.68</v>
      </c>
      <c r="J20" s="100"/>
      <c r="K20" s="100">
        <f t="shared" si="0"/>
        <v>310.68</v>
      </c>
      <c r="L20" s="101">
        <v>15</v>
      </c>
    </row>
    <row r="21" spans="1:12">
      <c r="A21" s="101"/>
      <c r="B21" s="101"/>
      <c r="C21" s="14"/>
      <c r="D21" s="140"/>
      <c r="E21" s="142"/>
      <c r="F21" s="139">
        <v>45488</v>
      </c>
      <c r="G21" s="186" t="s">
        <v>193</v>
      </c>
      <c r="H21" s="121" t="s">
        <v>371</v>
      </c>
      <c r="I21" s="100">
        <v>953.4</v>
      </c>
      <c r="J21" s="100">
        <v>190.68</v>
      </c>
      <c r="K21" s="100">
        <f t="shared" si="0"/>
        <v>1144.08</v>
      </c>
      <c r="L21" s="101">
        <v>16</v>
      </c>
    </row>
    <row r="22" spans="1:12">
      <c r="A22" s="101"/>
      <c r="B22" s="101"/>
      <c r="C22" s="14"/>
      <c r="D22" s="140"/>
      <c r="E22" s="118"/>
      <c r="F22" s="139"/>
      <c r="G22" s="186" t="s">
        <v>193</v>
      </c>
      <c r="H22" s="121" t="s">
        <v>4</v>
      </c>
      <c r="I22" s="100">
        <v>73.8</v>
      </c>
      <c r="J22" s="100"/>
      <c r="K22" s="100">
        <f t="shared" si="0"/>
        <v>73.8</v>
      </c>
      <c r="L22" s="101">
        <v>17</v>
      </c>
    </row>
    <row r="23" spans="1:12">
      <c r="A23" s="14"/>
      <c r="B23" s="14"/>
      <c r="C23" s="14"/>
      <c r="D23" s="140"/>
      <c r="E23" s="118"/>
      <c r="F23" s="139"/>
      <c r="G23" s="217" t="s">
        <v>193</v>
      </c>
      <c r="H23" s="121" t="s">
        <v>117</v>
      </c>
      <c r="I23" s="100">
        <v>148.72</v>
      </c>
      <c r="J23" s="100"/>
      <c r="K23" s="100">
        <f t="shared" si="0"/>
        <v>148.72</v>
      </c>
      <c r="L23" s="101">
        <v>18</v>
      </c>
    </row>
    <row r="24" spans="1:12">
      <c r="A24" s="14"/>
      <c r="B24" s="14"/>
      <c r="C24" s="14"/>
      <c r="D24" s="140"/>
      <c r="E24" s="118"/>
      <c r="F24" s="139"/>
      <c r="G24" s="186" t="s">
        <v>193</v>
      </c>
      <c r="H24" s="121" t="s">
        <v>89</v>
      </c>
      <c r="I24" s="100">
        <v>325.88</v>
      </c>
      <c r="J24" s="100"/>
      <c r="K24" s="100">
        <f t="shared" ref="K24:K62" si="1">I24+J24</f>
        <v>325.88</v>
      </c>
      <c r="L24" s="101">
        <v>19</v>
      </c>
    </row>
    <row r="25" spans="1:12">
      <c r="A25" s="14"/>
      <c r="B25" s="14"/>
      <c r="C25" s="14"/>
      <c r="D25" s="140"/>
      <c r="E25" s="118"/>
      <c r="F25" s="139"/>
      <c r="G25" s="186" t="s">
        <v>193</v>
      </c>
      <c r="H25" s="121" t="s">
        <v>237</v>
      </c>
      <c r="I25" s="100">
        <v>1370</v>
      </c>
      <c r="J25" s="100">
        <f>I25/5</f>
        <v>274</v>
      </c>
      <c r="K25" s="100">
        <f t="shared" si="1"/>
        <v>1644</v>
      </c>
      <c r="L25" s="101">
        <v>20</v>
      </c>
    </row>
    <row r="26" spans="1:12">
      <c r="A26" s="14"/>
      <c r="B26" s="14"/>
      <c r="C26" s="14"/>
      <c r="D26" s="140"/>
      <c r="E26" s="118"/>
      <c r="F26" s="139">
        <v>45519</v>
      </c>
      <c r="G26" s="186" t="s">
        <v>193</v>
      </c>
      <c r="H26" s="121" t="s">
        <v>129</v>
      </c>
      <c r="I26" s="100">
        <v>92.55</v>
      </c>
      <c r="J26" s="100">
        <f>I26/5</f>
        <v>18.509999999999998</v>
      </c>
      <c r="K26" s="100">
        <f t="shared" si="1"/>
        <v>111.06</v>
      </c>
      <c r="L26" s="101">
        <v>21</v>
      </c>
    </row>
    <row r="27" spans="1:12">
      <c r="A27" s="14"/>
      <c r="B27" s="14"/>
      <c r="C27" s="14"/>
      <c r="D27" s="140"/>
      <c r="E27" s="118"/>
      <c r="F27" s="139"/>
      <c r="G27" s="186" t="s">
        <v>193</v>
      </c>
      <c r="H27" s="121" t="s">
        <v>4</v>
      </c>
      <c r="I27" s="100">
        <v>73.8</v>
      </c>
      <c r="J27" s="100"/>
      <c r="K27" s="100">
        <f t="shared" si="1"/>
        <v>73.8</v>
      </c>
      <c r="L27" s="101">
        <v>22</v>
      </c>
    </row>
    <row r="28" spans="1:12">
      <c r="A28" s="14"/>
      <c r="B28" s="14"/>
      <c r="C28" s="14"/>
      <c r="D28" s="140"/>
      <c r="E28" s="118"/>
      <c r="F28" s="101"/>
      <c r="G28" s="186" t="s">
        <v>193</v>
      </c>
      <c r="H28" s="121" t="s">
        <v>117</v>
      </c>
      <c r="I28" s="100">
        <v>148.72</v>
      </c>
      <c r="J28" s="100"/>
      <c r="K28" s="100">
        <f t="shared" si="1"/>
        <v>148.72</v>
      </c>
      <c r="L28" s="101">
        <v>23</v>
      </c>
    </row>
    <row r="29" spans="1:12">
      <c r="A29" s="14"/>
      <c r="B29" s="14"/>
      <c r="C29" s="14"/>
      <c r="D29" s="140"/>
      <c r="E29" s="118"/>
      <c r="F29" s="139"/>
      <c r="G29" s="186" t="s">
        <v>193</v>
      </c>
      <c r="H29" s="121" t="s">
        <v>89</v>
      </c>
      <c r="I29" s="100">
        <v>310.68</v>
      </c>
      <c r="J29" s="100"/>
      <c r="K29" s="100">
        <f t="shared" si="1"/>
        <v>310.68</v>
      </c>
      <c r="L29" s="101">
        <v>24</v>
      </c>
    </row>
    <row r="30" spans="1:12">
      <c r="A30" s="14"/>
      <c r="B30" s="14"/>
      <c r="C30" s="14"/>
      <c r="D30" s="140"/>
      <c r="E30" s="118"/>
      <c r="F30" s="139">
        <v>45551</v>
      </c>
      <c r="G30" s="186" t="s">
        <v>193</v>
      </c>
      <c r="H30" s="121" t="s">
        <v>117</v>
      </c>
      <c r="I30" s="100">
        <v>148.72</v>
      </c>
      <c r="J30" s="100"/>
      <c r="K30" s="100">
        <f t="shared" si="1"/>
        <v>148.72</v>
      </c>
      <c r="L30" s="101">
        <v>25</v>
      </c>
    </row>
    <row r="31" spans="1:12">
      <c r="A31" s="14"/>
      <c r="B31" s="14"/>
      <c r="C31" s="14"/>
      <c r="D31" s="140"/>
      <c r="E31" s="118"/>
      <c r="F31" s="139"/>
      <c r="G31" s="186" t="s">
        <v>193</v>
      </c>
      <c r="H31" s="121" t="s">
        <v>4</v>
      </c>
      <c r="I31" s="100">
        <v>74</v>
      </c>
      <c r="J31" s="100"/>
      <c r="K31" s="100">
        <f t="shared" si="1"/>
        <v>74</v>
      </c>
      <c r="L31" s="101">
        <v>26</v>
      </c>
    </row>
    <row r="32" spans="1:12">
      <c r="A32" s="14"/>
      <c r="B32" s="14"/>
      <c r="C32" s="14"/>
      <c r="D32" s="140"/>
      <c r="E32" s="118"/>
      <c r="F32" s="101"/>
      <c r="G32" s="186" t="s">
        <v>193</v>
      </c>
      <c r="H32" s="121" t="s">
        <v>89</v>
      </c>
      <c r="I32" s="100">
        <v>310.68</v>
      </c>
      <c r="J32" s="100"/>
      <c r="K32" s="100">
        <f t="shared" si="1"/>
        <v>310.68</v>
      </c>
      <c r="L32" s="101">
        <v>27</v>
      </c>
    </row>
    <row r="33" spans="1:12">
      <c r="A33" s="14"/>
      <c r="B33" s="14"/>
      <c r="C33" s="14"/>
      <c r="D33" s="140"/>
      <c r="E33" s="118"/>
      <c r="F33" s="139"/>
      <c r="G33" s="186" t="s">
        <v>193</v>
      </c>
      <c r="H33" s="121" t="s">
        <v>308</v>
      </c>
      <c r="I33" s="100">
        <v>98</v>
      </c>
      <c r="J33" s="120">
        <f>I33/5</f>
        <v>19.600000000000001</v>
      </c>
      <c r="K33" s="100">
        <f t="shared" si="1"/>
        <v>117.6</v>
      </c>
      <c r="L33" s="101">
        <v>28</v>
      </c>
    </row>
    <row r="34" spans="1:12">
      <c r="A34" s="14"/>
      <c r="B34" s="14"/>
      <c r="C34" s="14"/>
      <c r="D34" s="140"/>
      <c r="E34" s="118"/>
      <c r="F34" s="139">
        <v>45586</v>
      </c>
      <c r="G34" s="186" t="s">
        <v>193</v>
      </c>
      <c r="H34" s="121" t="s">
        <v>322</v>
      </c>
      <c r="I34" s="100">
        <v>182.38</v>
      </c>
      <c r="J34" s="100">
        <v>36.47</v>
      </c>
      <c r="K34" s="100">
        <f t="shared" si="1"/>
        <v>218.85</v>
      </c>
      <c r="L34" s="101">
        <v>29</v>
      </c>
    </row>
    <row r="35" spans="1:12">
      <c r="A35" s="14"/>
      <c r="B35" s="14"/>
      <c r="C35" s="14"/>
      <c r="D35" s="140"/>
      <c r="E35" s="118"/>
      <c r="F35" s="139"/>
      <c r="G35" s="186" t="s">
        <v>193</v>
      </c>
      <c r="H35" s="121" t="s">
        <v>4</v>
      </c>
      <c r="I35" s="100">
        <v>73.8</v>
      </c>
      <c r="J35" s="100"/>
      <c r="K35" s="100">
        <f t="shared" si="1"/>
        <v>73.8</v>
      </c>
      <c r="L35" s="101">
        <v>30</v>
      </c>
    </row>
    <row r="36" spans="1:12">
      <c r="A36" s="14"/>
      <c r="B36" s="14"/>
      <c r="C36" s="14"/>
      <c r="D36" s="140"/>
      <c r="E36" s="118"/>
      <c r="F36" s="101"/>
      <c r="G36" s="186" t="s">
        <v>193</v>
      </c>
      <c r="H36" s="121" t="s">
        <v>191</v>
      </c>
      <c r="I36" s="100">
        <v>70.349999999999994</v>
      </c>
      <c r="J36" s="100"/>
      <c r="K36" s="100">
        <f t="shared" si="1"/>
        <v>70.349999999999994</v>
      </c>
      <c r="L36" s="101">
        <v>31</v>
      </c>
    </row>
    <row r="37" spans="1:12">
      <c r="A37" s="14"/>
      <c r="B37" s="14"/>
      <c r="C37" s="14"/>
      <c r="D37" s="140"/>
      <c r="E37" s="118"/>
      <c r="F37" s="139"/>
      <c r="G37" s="186" t="s">
        <v>193</v>
      </c>
      <c r="H37" s="121" t="s">
        <v>370</v>
      </c>
      <c r="I37" s="100">
        <v>4804.8</v>
      </c>
      <c r="J37" s="100"/>
      <c r="K37" s="100">
        <f t="shared" si="1"/>
        <v>4804.8</v>
      </c>
      <c r="L37" s="101">
        <v>32</v>
      </c>
    </row>
    <row r="38" spans="1:12">
      <c r="A38" s="14"/>
      <c r="B38" s="14"/>
      <c r="C38" s="14"/>
      <c r="D38" s="140"/>
      <c r="E38" s="118"/>
      <c r="F38" s="101"/>
      <c r="G38" s="186" t="s">
        <v>193</v>
      </c>
      <c r="H38" s="121" t="s">
        <v>89</v>
      </c>
      <c r="I38" s="100">
        <v>325.88</v>
      </c>
      <c r="J38" s="100"/>
      <c r="K38" s="100">
        <f t="shared" si="1"/>
        <v>325.88</v>
      </c>
      <c r="L38" s="101">
        <v>33</v>
      </c>
    </row>
    <row r="39" spans="1:12">
      <c r="A39" s="14"/>
      <c r="B39" s="14"/>
      <c r="C39" s="14"/>
      <c r="D39" s="140"/>
      <c r="E39" s="118"/>
      <c r="F39" s="101"/>
      <c r="G39" s="186" t="s">
        <v>193</v>
      </c>
      <c r="H39" s="121" t="s">
        <v>117</v>
      </c>
      <c r="I39" s="100">
        <v>148.72</v>
      </c>
      <c r="J39" s="100"/>
      <c r="K39" s="100">
        <f t="shared" si="1"/>
        <v>148.72</v>
      </c>
      <c r="L39" s="101">
        <v>34</v>
      </c>
    </row>
    <row r="40" spans="1:12">
      <c r="A40" s="14"/>
      <c r="B40" s="14"/>
      <c r="C40" s="14"/>
      <c r="D40" s="140"/>
      <c r="E40" s="118"/>
      <c r="F40" s="139">
        <v>45617</v>
      </c>
      <c r="G40" s="186" t="s">
        <v>193</v>
      </c>
      <c r="H40" s="121" t="s">
        <v>117</v>
      </c>
      <c r="I40" s="100">
        <v>148.72</v>
      </c>
      <c r="J40" s="100"/>
      <c r="K40" s="100">
        <f t="shared" si="1"/>
        <v>148.72</v>
      </c>
      <c r="L40" s="101">
        <v>35</v>
      </c>
    </row>
    <row r="41" spans="1:12">
      <c r="A41" s="14"/>
      <c r="B41" s="14"/>
      <c r="C41" s="14"/>
      <c r="D41" s="140"/>
      <c r="E41" s="118"/>
      <c r="F41" s="101"/>
      <c r="G41" s="186" t="s">
        <v>193</v>
      </c>
      <c r="H41" s="121" t="s">
        <v>4</v>
      </c>
      <c r="I41" s="100">
        <v>100</v>
      </c>
      <c r="J41" s="100"/>
      <c r="K41" s="100">
        <f t="shared" si="1"/>
        <v>100</v>
      </c>
      <c r="L41" s="101">
        <v>36</v>
      </c>
    </row>
    <row r="42" spans="1:12">
      <c r="A42" s="14"/>
      <c r="B42" s="14"/>
      <c r="C42" s="14"/>
      <c r="D42" s="140"/>
      <c r="E42" s="118"/>
      <c r="F42" s="101"/>
      <c r="G42" s="186" t="s">
        <v>193</v>
      </c>
      <c r="H42" s="121" t="s">
        <v>89</v>
      </c>
      <c r="I42" s="100">
        <v>438.24</v>
      </c>
      <c r="J42" s="100"/>
      <c r="K42" s="100">
        <f t="shared" si="1"/>
        <v>438.24</v>
      </c>
      <c r="L42" s="101">
        <v>37</v>
      </c>
    </row>
    <row r="43" spans="1:12">
      <c r="A43" s="14"/>
      <c r="B43" s="14"/>
      <c r="C43" s="14"/>
      <c r="D43" s="140"/>
      <c r="E43" s="118"/>
      <c r="F43" s="139">
        <v>45642</v>
      </c>
      <c r="G43" s="186" t="s">
        <v>193</v>
      </c>
      <c r="H43" s="121" t="s">
        <v>4</v>
      </c>
      <c r="I43" s="100">
        <v>77</v>
      </c>
      <c r="J43" s="100"/>
      <c r="K43" s="100">
        <f t="shared" si="1"/>
        <v>77</v>
      </c>
      <c r="L43" s="101">
        <v>38</v>
      </c>
    </row>
    <row r="44" spans="1:12">
      <c r="A44" s="14"/>
      <c r="B44" s="14"/>
      <c r="C44" s="14"/>
      <c r="D44" s="140"/>
      <c r="E44" s="118"/>
      <c r="F44" s="101"/>
      <c r="G44" s="186" t="s">
        <v>193</v>
      </c>
      <c r="H44" s="121" t="s">
        <v>117</v>
      </c>
      <c r="I44" s="100">
        <v>148.72</v>
      </c>
      <c r="J44" s="100"/>
      <c r="K44" s="100">
        <f t="shared" si="1"/>
        <v>148.72</v>
      </c>
      <c r="L44" s="101">
        <v>39</v>
      </c>
    </row>
    <row r="45" spans="1:12">
      <c r="A45" s="14"/>
      <c r="B45" s="14"/>
      <c r="C45" s="14"/>
      <c r="D45" s="140"/>
      <c r="E45" s="118"/>
      <c r="F45" s="101"/>
      <c r="G45" s="186" t="s">
        <v>193</v>
      </c>
      <c r="H45" s="121" t="s">
        <v>89</v>
      </c>
      <c r="I45" s="100">
        <v>326.83999999999997</v>
      </c>
      <c r="J45" s="100"/>
      <c r="K45" s="100">
        <f t="shared" si="1"/>
        <v>326.83999999999997</v>
      </c>
      <c r="L45" s="101">
        <v>40</v>
      </c>
    </row>
    <row r="46" spans="1:12">
      <c r="A46" s="14"/>
      <c r="B46" s="14"/>
      <c r="C46" s="14"/>
      <c r="D46" s="140"/>
      <c r="E46" s="118"/>
      <c r="F46" s="139"/>
      <c r="G46" s="186" t="s">
        <v>193</v>
      </c>
      <c r="H46" s="121" t="s">
        <v>117</v>
      </c>
      <c r="I46" s="100">
        <v>40</v>
      </c>
      <c r="J46" s="100"/>
      <c r="K46" s="100">
        <f t="shared" si="1"/>
        <v>40</v>
      </c>
      <c r="L46" s="101">
        <v>41</v>
      </c>
    </row>
    <row r="47" spans="1:12">
      <c r="A47" s="14"/>
      <c r="B47" s="14"/>
      <c r="C47" s="14"/>
      <c r="D47" s="140"/>
      <c r="E47" s="118"/>
      <c r="F47" s="139">
        <v>45677</v>
      </c>
      <c r="G47" s="186" t="s">
        <v>193</v>
      </c>
      <c r="H47" s="121" t="s">
        <v>372</v>
      </c>
      <c r="I47" s="100">
        <v>119.88</v>
      </c>
      <c r="J47" s="100">
        <f>I47/5</f>
        <v>23.975999999999999</v>
      </c>
      <c r="K47" s="100">
        <f t="shared" si="1"/>
        <v>143.85599999999999</v>
      </c>
      <c r="L47" s="101">
        <v>42</v>
      </c>
    </row>
    <row r="48" spans="1:12">
      <c r="A48" s="14"/>
      <c r="B48" s="14"/>
      <c r="C48" s="14"/>
      <c r="D48" s="140"/>
      <c r="E48" s="118"/>
      <c r="F48" s="139"/>
      <c r="G48" s="186" t="s">
        <v>193</v>
      </c>
      <c r="H48" s="121" t="s">
        <v>117</v>
      </c>
      <c r="I48" s="100">
        <v>148.72</v>
      </c>
      <c r="J48" s="100"/>
      <c r="K48" s="100">
        <f t="shared" si="1"/>
        <v>148.72</v>
      </c>
      <c r="L48" s="101">
        <v>43</v>
      </c>
    </row>
    <row r="49" spans="1:15">
      <c r="A49" s="14"/>
      <c r="B49" s="14"/>
      <c r="C49" s="14"/>
      <c r="D49" s="140"/>
      <c r="E49" s="118"/>
      <c r="F49" s="101"/>
      <c r="G49" s="186" t="s">
        <v>193</v>
      </c>
      <c r="H49" s="121" t="s">
        <v>89</v>
      </c>
      <c r="I49" s="100">
        <v>323.64</v>
      </c>
      <c r="J49" s="100"/>
      <c r="K49" s="100">
        <f t="shared" si="1"/>
        <v>323.64</v>
      </c>
      <c r="L49" s="101">
        <v>44</v>
      </c>
    </row>
    <row r="50" spans="1:15">
      <c r="A50" s="14"/>
      <c r="B50" s="14"/>
      <c r="C50" s="14"/>
      <c r="D50" s="140"/>
      <c r="E50" s="118"/>
      <c r="F50" s="139"/>
      <c r="G50" s="186" t="s">
        <v>193</v>
      </c>
      <c r="H50" s="121" t="s">
        <v>129</v>
      </c>
      <c r="I50" s="100">
        <v>92.55</v>
      </c>
      <c r="J50" s="100">
        <v>18.510000000000002</v>
      </c>
      <c r="K50" s="100">
        <f t="shared" si="1"/>
        <v>111.06</v>
      </c>
      <c r="L50" s="101">
        <v>45</v>
      </c>
    </row>
    <row r="51" spans="1:15">
      <c r="A51" s="14"/>
      <c r="B51" s="14"/>
      <c r="C51" s="14"/>
      <c r="D51" s="140"/>
      <c r="E51" s="118"/>
      <c r="F51" s="139"/>
      <c r="G51" s="186" t="s">
        <v>193</v>
      </c>
      <c r="H51" s="121" t="s">
        <v>224</v>
      </c>
      <c r="I51" s="100">
        <v>250</v>
      </c>
      <c r="J51" s="100">
        <v>50</v>
      </c>
      <c r="K51" s="100">
        <f t="shared" si="1"/>
        <v>300</v>
      </c>
      <c r="L51" s="101">
        <v>46</v>
      </c>
    </row>
    <row r="52" spans="1:15">
      <c r="A52" s="14"/>
      <c r="B52" s="14"/>
      <c r="C52" s="14"/>
      <c r="D52" s="140"/>
      <c r="E52" s="118"/>
      <c r="F52" s="119"/>
      <c r="G52" s="186" t="s">
        <v>193</v>
      </c>
      <c r="H52" s="121" t="s">
        <v>4</v>
      </c>
      <c r="I52" s="100">
        <v>77.2</v>
      </c>
      <c r="J52" s="100"/>
      <c r="K52" s="100">
        <f t="shared" si="1"/>
        <v>77.2</v>
      </c>
      <c r="L52" s="101">
        <v>47</v>
      </c>
    </row>
    <row r="53" spans="1:15">
      <c r="A53" s="14"/>
      <c r="B53" s="14"/>
      <c r="C53" s="14"/>
      <c r="D53" s="140"/>
      <c r="E53" s="118"/>
      <c r="F53" s="139">
        <v>45705</v>
      </c>
      <c r="G53" s="186" t="s">
        <v>193</v>
      </c>
      <c r="H53" s="121" t="s">
        <v>117</v>
      </c>
      <c r="I53" s="100">
        <v>148.72</v>
      </c>
      <c r="J53" s="100"/>
      <c r="K53" s="100">
        <f t="shared" si="1"/>
        <v>148.72</v>
      </c>
      <c r="L53" s="101">
        <v>48</v>
      </c>
    </row>
    <row r="54" spans="1:15">
      <c r="A54" s="14"/>
      <c r="B54" s="14"/>
      <c r="C54" s="14"/>
      <c r="D54" s="140"/>
      <c r="E54" s="118"/>
      <c r="F54" s="139"/>
      <c r="G54" s="186" t="s">
        <v>193</v>
      </c>
      <c r="H54" s="121" t="s">
        <v>89</v>
      </c>
      <c r="I54" s="100">
        <v>329.64</v>
      </c>
      <c r="J54" s="100"/>
      <c r="K54" s="100">
        <f t="shared" si="1"/>
        <v>329.64</v>
      </c>
      <c r="L54" s="101">
        <v>49</v>
      </c>
    </row>
    <row r="55" spans="1:15">
      <c r="A55" s="14"/>
      <c r="B55" s="14"/>
      <c r="C55" s="14"/>
      <c r="D55" s="140"/>
      <c r="E55" s="118"/>
      <c r="F55" s="139"/>
      <c r="G55" s="186" t="s">
        <v>193</v>
      </c>
      <c r="H55" s="121" t="s">
        <v>4</v>
      </c>
      <c r="I55" s="100">
        <v>77.2</v>
      </c>
      <c r="J55" s="100"/>
      <c r="K55" s="100">
        <f t="shared" si="1"/>
        <v>77.2</v>
      </c>
      <c r="L55" s="101">
        <v>50</v>
      </c>
    </row>
    <row r="56" spans="1:15">
      <c r="A56" s="14"/>
      <c r="B56" s="14"/>
      <c r="C56" s="14"/>
      <c r="D56" s="140"/>
      <c r="E56" s="118"/>
      <c r="F56" s="139">
        <v>45733</v>
      </c>
      <c r="G56" s="186" t="s">
        <v>193</v>
      </c>
      <c r="H56" s="121" t="s">
        <v>4</v>
      </c>
      <c r="I56" s="100">
        <v>77.2</v>
      </c>
      <c r="J56" s="100"/>
      <c r="K56" s="100">
        <f t="shared" si="1"/>
        <v>77.2</v>
      </c>
      <c r="L56" s="101">
        <v>51</v>
      </c>
    </row>
    <row r="57" spans="1:15">
      <c r="A57" s="14"/>
      <c r="B57" s="14"/>
      <c r="C57" s="14"/>
      <c r="D57" s="140"/>
      <c r="E57" s="118"/>
      <c r="F57" s="139"/>
      <c r="G57" s="186" t="s">
        <v>193</v>
      </c>
      <c r="H57" s="121" t="s">
        <v>117</v>
      </c>
      <c r="I57" s="100">
        <v>148.72</v>
      </c>
      <c r="J57" s="100"/>
      <c r="K57" s="100">
        <f t="shared" si="1"/>
        <v>148.72</v>
      </c>
      <c r="L57" s="101">
        <v>52</v>
      </c>
    </row>
    <row r="58" spans="1:15">
      <c r="A58" s="14"/>
      <c r="B58" s="14"/>
      <c r="C58" s="14"/>
      <c r="D58" s="140"/>
      <c r="E58" s="118"/>
      <c r="F58" s="101"/>
      <c r="G58" s="186" t="s">
        <v>193</v>
      </c>
      <c r="H58" s="121" t="s">
        <v>89</v>
      </c>
      <c r="I58" s="100">
        <v>326.64</v>
      </c>
      <c r="J58" s="100"/>
      <c r="K58" s="100">
        <f t="shared" si="1"/>
        <v>326.64</v>
      </c>
      <c r="L58" s="101">
        <v>53</v>
      </c>
    </row>
    <row r="59" spans="1:15">
      <c r="A59" s="14"/>
      <c r="B59" s="14"/>
      <c r="C59" s="14"/>
      <c r="D59" s="140"/>
      <c r="E59" s="118"/>
      <c r="F59" s="139"/>
      <c r="G59" s="186" t="s">
        <v>193</v>
      </c>
      <c r="H59" s="121" t="s">
        <v>373</v>
      </c>
      <c r="I59" s="100">
        <v>25.5</v>
      </c>
      <c r="J59" s="100">
        <f>I59/5</f>
        <v>5.0999999999999996</v>
      </c>
      <c r="K59" s="100">
        <f t="shared" si="1"/>
        <v>30.6</v>
      </c>
      <c r="L59" s="101">
        <v>54</v>
      </c>
    </row>
    <row r="60" spans="1:15">
      <c r="A60" s="14"/>
      <c r="B60" s="14"/>
      <c r="C60" s="14"/>
      <c r="D60" s="140"/>
      <c r="E60" s="118"/>
      <c r="F60" s="139"/>
      <c r="G60" s="186" t="s">
        <v>193</v>
      </c>
      <c r="H60" s="121" t="s">
        <v>192</v>
      </c>
      <c r="I60" s="100">
        <v>430</v>
      </c>
      <c r="J60" s="100"/>
      <c r="K60" s="100">
        <f t="shared" si="1"/>
        <v>430</v>
      </c>
      <c r="L60" s="101">
        <v>55</v>
      </c>
    </row>
    <row r="61" spans="1:15">
      <c r="A61" s="14"/>
      <c r="B61" s="14"/>
      <c r="C61" s="14"/>
      <c r="D61" s="140"/>
      <c r="E61" s="118"/>
      <c r="F61" s="139"/>
      <c r="G61" s="186" t="s">
        <v>193</v>
      </c>
      <c r="H61" s="121" t="s">
        <v>242</v>
      </c>
      <c r="I61" s="100">
        <v>150</v>
      </c>
      <c r="J61" s="100">
        <v>30</v>
      </c>
      <c r="K61" s="100">
        <f t="shared" si="1"/>
        <v>180</v>
      </c>
      <c r="L61" s="101">
        <v>56</v>
      </c>
    </row>
    <row r="62" spans="1:15">
      <c r="A62" s="14"/>
      <c r="B62" s="14"/>
      <c r="C62" s="14"/>
      <c r="D62" s="140"/>
      <c r="E62" s="118"/>
      <c r="F62" s="139"/>
      <c r="G62" s="186" t="s">
        <v>193</v>
      </c>
      <c r="H62" s="121" t="s">
        <v>191</v>
      </c>
      <c r="I62" s="100">
        <v>90.66</v>
      </c>
      <c r="J62" s="100"/>
      <c r="K62" s="100">
        <f t="shared" si="1"/>
        <v>90.66</v>
      </c>
      <c r="L62" s="101">
        <v>57</v>
      </c>
    </row>
    <row r="63" spans="1:15">
      <c r="A63" s="14"/>
      <c r="B63" s="14"/>
      <c r="C63" s="14"/>
      <c r="D63" s="140"/>
      <c r="E63" s="118"/>
      <c r="F63" s="139"/>
      <c r="G63" s="186"/>
      <c r="H63" s="121"/>
      <c r="I63" s="100"/>
      <c r="J63" s="100"/>
      <c r="K63" s="100"/>
      <c r="L63" s="101"/>
    </row>
    <row r="64" spans="1:15">
      <c r="A64" s="14"/>
      <c r="B64" s="14"/>
      <c r="C64" s="14"/>
      <c r="D64" s="140"/>
      <c r="E64" s="143"/>
      <c r="F64" s="139"/>
      <c r="G64" s="141"/>
      <c r="H64" s="121"/>
      <c r="I64" s="100"/>
      <c r="J64" s="100"/>
      <c r="K64" s="100"/>
      <c r="L64" s="101"/>
      <c r="O64" s="98"/>
    </row>
    <row r="65" spans="1:16">
      <c r="A65" s="14"/>
      <c r="B65" s="121"/>
      <c r="C65" s="101"/>
      <c r="D65" s="142">
        <f>SUM(D7:D17)</f>
        <v>30962.400000000001</v>
      </c>
      <c r="E65" s="143"/>
      <c r="F65" s="101"/>
      <c r="G65" s="101"/>
      <c r="H65" s="144"/>
      <c r="I65" s="142">
        <f>SUM(I6:I63)</f>
        <v>21927.750000000004</v>
      </c>
      <c r="J65" s="142">
        <f>SUM(J6:J63)</f>
        <v>948.45400000000006</v>
      </c>
      <c r="K65" s="100">
        <f>I65+J65</f>
        <v>22876.204000000005</v>
      </c>
      <c r="L65" s="101"/>
    </row>
    <row r="66" spans="1:16">
      <c r="A66" s="14"/>
      <c r="B66" s="121"/>
      <c r="C66" s="101"/>
      <c r="D66" s="143"/>
      <c r="F66" s="101"/>
      <c r="G66" s="101"/>
      <c r="H66" s="144"/>
      <c r="I66" s="142"/>
      <c r="J66" s="100"/>
      <c r="K66" s="100"/>
    </row>
    <row r="67" spans="1:16">
      <c r="A67" s="14"/>
      <c r="B67" s="121"/>
      <c r="C67" s="101"/>
      <c r="D67" s="101"/>
      <c r="F67" s="101"/>
      <c r="G67" s="101"/>
      <c r="H67" s="143" t="s">
        <v>11</v>
      </c>
      <c r="I67" s="100"/>
      <c r="J67" s="100"/>
      <c r="K67" s="142">
        <f>D68-K65</f>
        <v>31639.115999999995</v>
      </c>
      <c r="N67" s="98"/>
      <c r="P67" s="98"/>
    </row>
    <row r="68" spans="1:16">
      <c r="A68" s="14"/>
      <c r="B68" s="121"/>
      <c r="C68" s="101"/>
      <c r="D68" s="142">
        <f>D65+D6</f>
        <v>54515.32</v>
      </c>
      <c r="F68" s="101"/>
      <c r="G68" s="101"/>
      <c r="H68" s="143"/>
      <c r="I68" s="100"/>
      <c r="J68" s="100"/>
      <c r="K68" s="142">
        <f>K65+K67</f>
        <v>54515.32</v>
      </c>
    </row>
    <row r="69" spans="1:16">
      <c r="O69" s="98"/>
    </row>
  </sheetData>
  <mergeCells count="2">
    <mergeCell ref="A1:L1"/>
    <mergeCell ref="A3:L3"/>
  </mergeCells>
  <pageMargins left="0.70866141732283472" right="0.70866141732283472" top="0.74803149606299213" bottom="0.74803149606299213" header="0.31496062992125984" footer="0.31496062992125984"/>
  <pageSetup paperSize="9" scale="71" fitToHeight="3" orientation="landscape" r:id="rId1"/>
</worksheet>
</file>

<file path=xl/worksheets/sheet10.xml><?xml version="1.0" encoding="utf-8"?>
<worksheet xmlns="http://schemas.openxmlformats.org/spreadsheetml/2006/main" xmlns:r="http://schemas.openxmlformats.org/officeDocument/2006/relationships">
  <sheetPr>
    <pageSetUpPr fitToPage="1"/>
  </sheetPr>
  <dimension ref="A2:J57"/>
  <sheetViews>
    <sheetView workbookViewId="0">
      <selection activeCell="A2" sqref="A2:C50"/>
    </sheetView>
  </sheetViews>
  <sheetFormatPr defaultRowHeight="15"/>
  <cols>
    <col min="1" max="1" width="59" bestFit="1" customWidth="1"/>
    <col min="2" max="3" width="12.7109375" bestFit="1" customWidth="1"/>
    <col min="6" max="6" width="11.5703125" bestFit="1" customWidth="1"/>
    <col min="8" max="8" width="11.5703125" bestFit="1" customWidth="1"/>
  </cols>
  <sheetData>
    <row r="2" spans="1:3" ht="18.75">
      <c r="A2" s="278" t="s">
        <v>115</v>
      </c>
      <c r="B2" s="278"/>
      <c r="C2" s="278"/>
    </row>
    <row r="3" spans="1:3" ht="18.75">
      <c r="A3" s="278" t="s">
        <v>84</v>
      </c>
      <c r="B3" s="278"/>
      <c r="C3" s="278"/>
    </row>
    <row r="4" spans="1:3" ht="18.75">
      <c r="A4" s="278" t="s">
        <v>212</v>
      </c>
      <c r="B4" s="278"/>
      <c r="C4" s="278"/>
    </row>
    <row r="5" spans="1:3" ht="15.75">
      <c r="A5" s="75"/>
      <c r="B5" s="74"/>
      <c r="C5" s="74"/>
    </row>
    <row r="6" spans="1:3" ht="18.75">
      <c r="A6" s="76" t="s">
        <v>85</v>
      </c>
      <c r="B6" s="74"/>
      <c r="C6" s="74"/>
    </row>
    <row r="7" spans="1:3" ht="15.75">
      <c r="A7" s="75"/>
      <c r="B7" s="74"/>
      <c r="C7" s="74"/>
    </row>
    <row r="8" spans="1:3" ht="15.75">
      <c r="A8" s="77" t="s">
        <v>86</v>
      </c>
      <c r="B8" s="75"/>
      <c r="C8" s="75"/>
    </row>
    <row r="9" spans="1:3" ht="15.75">
      <c r="A9" s="75" t="s">
        <v>119</v>
      </c>
      <c r="B9" s="150">
        <v>11675</v>
      </c>
      <c r="C9" s="150"/>
    </row>
    <row r="10" spans="1:3" ht="15.75">
      <c r="A10" s="75" t="s">
        <v>136</v>
      </c>
      <c r="B10" s="150">
        <f>6359.59+552.1</f>
        <v>6911.6900000000005</v>
      </c>
      <c r="C10" s="150"/>
    </row>
    <row r="11" spans="1:3" ht="15.75">
      <c r="A11" s="75" t="s">
        <v>203</v>
      </c>
      <c r="B11" s="150">
        <v>1080</v>
      </c>
      <c r="C11" s="150"/>
    </row>
    <row r="12" spans="1:3" ht="15.75">
      <c r="A12" s="75" t="s">
        <v>166</v>
      </c>
      <c r="B12" s="150">
        <v>1567.57</v>
      </c>
      <c r="C12" s="150"/>
    </row>
    <row r="13" spans="1:3" ht="15.75">
      <c r="A13" s="75" t="s">
        <v>5</v>
      </c>
      <c r="B13" s="150">
        <f>1.15+16.66</f>
        <v>17.809999999999999</v>
      </c>
      <c r="C13" s="150"/>
    </row>
    <row r="14" spans="1:3" ht="15.75">
      <c r="A14" s="79"/>
      <c r="B14" s="161">
        <f>SUM(B9:B13)</f>
        <v>21252.070000000003</v>
      </c>
      <c r="C14" s="150"/>
    </row>
    <row r="15" spans="1:3" ht="15.75">
      <c r="A15" s="79"/>
      <c r="B15" s="162"/>
      <c r="C15" s="150"/>
    </row>
    <row r="16" spans="1:3" ht="15.75">
      <c r="A16" s="77" t="s">
        <v>87</v>
      </c>
      <c r="B16" s="150"/>
      <c r="C16" s="150"/>
    </row>
    <row r="17" spans="1:4" ht="15.75">
      <c r="A17" s="75" t="s">
        <v>88</v>
      </c>
      <c r="B17" s="155">
        <f>'Budget over Expenditure 23-24'!C6+'Budget over Expenditure 23-24'!D6+'Budget over Expenditure 23-24'!E6+'Budget over Expenditure 23-24'!F6+'Budget over Expenditure 23-24'!G6</f>
        <v>75</v>
      </c>
      <c r="C17" s="150"/>
    </row>
    <row r="18" spans="1:4" ht="15.75">
      <c r="A18" s="75" t="s">
        <v>117</v>
      </c>
      <c r="B18" s="155">
        <v>682.5</v>
      </c>
      <c r="C18" s="150"/>
    </row>
    <row r="19" spans="1:4" ht="15.75">
      <c r="A19" s="75" t="s">
        <v>89</v>
      </c>
      <c r="B19" s="155">
        <f>'Budget over Expenditure 23-24'!C9+'Budget over Expenditure 23-24'!D9+'Budget over Expenditure 23-24'!E9+'Budget over Expenditure 23-24'!F9+'Budget over Expenditure 23-24'!G9</f>
        <v>1508.8</v>
      </c>
      <c r="C19" s="150"/>
    </row>
    <row r="20" spans="1:4" ht="15.75">
      <c r="A20" s="75" t="s">
        <v>6</v>
      </c>
      <c r="B20" s="155">
        <v>60</v>
      </c>
      <c r="C20" s="150"/>
    </row>
    <row r="21" spans="1:4" ht="15.75">
      <c r="A21" s="75" t="s">
        <v>122</v>
      </c>
      <c r="B21" s="155">
        <v>5000</v>
      </c>
      <c r="C21" s="150"/>
    </row>
    <row r="22" spans="1:4" ht="15.75">
      <c r="A22" s="75" t="s">
        <v>205</v>
      </c>
      <c r="B22" s="155">
        <v>111</v>
      </c>
      <c r="C22" s="150"/>
    </row>
    <row r="23" spans="1:4" ht="15.75">
      <c r="A23" s="82" t="s">
        <v>7</v>
      </c>
      <c r="B23" s="156">
        <v>625.55999999999995</v>
      </c>
      <c r="C23" s="150"/>
    </row>
    <row r="24" spans="1:4" ht="15.75">
      <c r="A24" s="82" t="s">
        <v>208</v>
      </c>
      <c r="B24" s="156">
        <v>662.52</v>
      </c>
      <c r="C24" s="150"/>
    </row>
    <row r="25" spans="1:4" ht="15.75">
      <c r="A25" s="82" t="s">
        <v>135</v>
      </c>
      <c r="B25" s="156">
        <v>1080</v>
      </c>
      <c r="C25" s="150"/>
    </row>
    <row r="26" spans="1:4" ht="15.75">
      <c r="A26" s="82" t="s">
        <v>209</v>
      </c>
      <c r="B26" s="156">
        <v>111.06</v>
      </c>
      <c r="C26" s="150"/>
    </row>
    <row r="27" spans="1:4" ht="15.75">
      <c r="A27" s="82" t="s">
        <v>210</v>
      </c>
      <c r="B27" s="156">
        <v>500</v>
      </c>
      <c r="C27" s="150"/>
    </row>
    <row r="28" spans="1:4" ht="15.75">
      <c r="A28" s="82" t="s">
        <v>9</v>
      </c>
      <c r="B28" s="156">
        <v>629.51</v>
      </c>
      <c r="C28" s="150"/>
    </row>
    <row r="29" spans="1:4" ht="15.75">
      <c r="A29" s="82" t="s">
        <v>211</v>
      </c>
      <c r="B29" s="156">
        <v>1341</v>
      </c>
      <c r="C29" s="150"/>
    </row>
    <row r="30" spans="1:4" ht="15.75">
      <c r="A30" s="82"/>
      <c r="B30" s="156"/>
      <c r="C30" s="150"/>
    </row>
    <row r="31" spans="1:4" ht="15.75">
      <c r="A31" s="82" t="s">
        <v>4</v>
      </c>
      <c r="B31" s="156">
        <f>'Budget over Expenditure 23-24'!C7+'Budget over Expenditure 23-24'!D7+'Budget over Expenditure 23-24'!E7+'Budget over Expenditure 23-24'!F7+'Budget over Expenditure 23-24'!G7</f>
        <v>369.40000000000003</v>
      </c>
      <c r="C31" s="150"/>
    </row>
    <row r="32" spans="1:4" ht="15.75">
      <c r="A32" s="82"/>
      <c r="B32" s="151">
        <f>SUM(B17:B31)</f>
        <v>12756.35</v>
      </c>
      <c r="C32" s="163"/>
      <c r="D32" s="61"/>
    </row>
    <row r="33" spans="1:8">
      <c r="A33" s="84"/>
      <c r="B33" s="163"/>
      <c r="C33" s="163"/>
    </row>
    <row r="34" spans="1:8" ht="15.75">
      <c r="A34" s="77" t="s">
        <v>90</v>
      </c>
      <c r="B34" s="150"/>
      <c r="C34" s="150"/>
    </row>
    <row r="35" spans="1:8" ht="15.75">
      <c r="A35" s="75" t="s">
        <v>201</v>
      </c>
      <c r="B35" s="150">
        <f>11691.53+3705.51-38.8-38.6</f>
        <v>15319.640000000001</v>
      </c>
      <c r="C35" s="162"/>
    </row>
    <row r="36" spans="1:8" ht="15.75">
      <c r="A36" s="75" t="s">
        <v>204</v>
      </c>
      <c r="B36" s="150">
        <f>B14-B32</f>
        <v>8495.720000000003</v>
      </c>
      <c r="C36" s="150"/>
    </row>
    <row r="37" spans="1:8" ht="16.5" thickBot="1">
      <c r="A37" s="77" t="s">
        <v>16</v>
      </c>
      <c r="B37" s="164"/>
      <c r="C37" s="165">
        <f>SUM(B35:B36)</f>
        <v>23815.360000000004</v>
      </c>
      <c r="E37" s="61"/>
    </row>
    <row r="38" spans="1:8" ht="16.5" thickTop="1">
      <c r="A38" s="77"/>
      <c r="B38" s="150"/>
      <c r="C38" s="150"/>
    </row>
    <row r="39" spans="1:8" ht="15.75">
      <c r="A39" s="77" t="s">
        <v>91</v>
      </c>
      <c r="B39" s="150"/>
      <c r="C39" s="150"/>
    </row>
    <row r="40" spans="1:8" ht="15.75">
      <c r="A40" s="77"/>
      <c r="B40" s="150"/>
      <c r="C40" s="150"/>
      <c r="F40" s="61"/>
    </row>
    <row r="41" spans="1:8" ht="15.75">
      <c r="A41" s="75" t="s">
        <v>206</v>
      </c>
      <c r="B41" s="166">
        <v>19831.240000000002</v>
      </c>
      <c r="C41" s="150"/>
    </row>
    <row r="42" spans="1:8" ht="15.75">
      <c r="A42" s="75" t="s">
        <v>207</v>
      </c>
      <c r="B42" s="162">
        <v>3722.17</v>
      </c>
      <c r="C42" s="150"/>
    </row>
    <row r="43" spans="1:8" ht="16.5" thickBot="1">
      <c r="A43" s="90"/>
      <c r="B43" s="167"/>
      <c r="C43" s="168">
        <f>SUM(B41:B42)</f>
        <v>23553.410000000003</v>
      </c>
    </row>
    <row r="44" spans="1:8" ht="15.75">
      <c r="A44" s="75"/>
      <c r="B44" s="150"/>
      <c r="C44" s="150"/>
      <c r="H44" s="98"/>
    </row>
    <row r="45" spans="1:8" ht="15.75">
      <c r="A45" s="77" t="s">
        <v>93</v>
      </c>
      <c r="B45" s="150"/>
      <c r="C45" s="150"/>
    </row>
    <row r="46" spans="1:8" ht="15.75">
      <c r="A46" s="82"/>
      <c r="B46" s="169"/>
      <c r="C46" s="150"/>
      <c r="F46" s="98"/>
      <c r="H46" s="98"/>
    </row>
    <row r="47" spans="1:8" ht="15.75">
      <c r="A47" s="82"/>
      <c r="B47" s="169"/>
      <c r="C47" s="150"/>
    </row>
    <row r="48" spans="1:8" ht="15.75">
      <c r="A48" s="82"/>
      <c r="B48" s="169"/>
      <c r="C48" s="150"/>
    </row>
    <row r="49" spans="1:10" ht="16.5" thickBot="1">
      <c r="A49" s="82"/>
      <c r="B49" s="169"/>
      <c r="C49" s="165">
        <f>C43-SUM(B46:B52)</f>
        <v>23553.410000000003</v>
      </c>
      <c r="E49">
        <f>3700.07+31046.65</f>
        <v>34746.720000000001</v>
      </c>
      <c r="F49" s="98">
        <f>E49-C56</f>
        <v>34746.720000000001</v>
      </c>
      <c r="G49">
        <v>12170.62</v>
      </c>
      <c r="H49">
        <v>18351.72</v>
      </c>
      <c r="J49">
        <f>G49+H49</f>
        <v>30522.340000000004</v>
      </c>
    </row>
    <row r="50" spans="1:10" ht="16.5" thickTop="1">
      <c r="A50" s="82"/>
      <c r="B50" s="169"/>
      <c r="C50" s="170"/>
    </row>
    <row r="51" spans="1:10" ht="15.75">
      <c r="A51" s="77"/>
      <c r="B51" s="75"/>
      <c r="C51" s="75"/>
    </row>
    <row r="52" spans="1:10" ht="15.75">
      <c r="A52" s="75"/>
      <c r="B52" s="75"/>
      <c r="C52" s="75"/>
    </row>
    <row r="53" spans="1:10" ht="15.75">
      <c r="A53" s="82"/>
      <c r="B53" s="83"/>
      <c r="C53" s="75"/>
    </row>
    <row r="54" spans="1:10" ht="15.75">
      <c r="A54" s="82"/>
      <c r="B54" s="83"/>
      <c r="C54" s="75"/>
      <c r="H54" s="61" t="e">
        <f>34746.72-H56</f>
        <v>#REF!</v>
      </c>
    </row>
    <row r="55" spans="1:10" ht="15.75">
      <c r="A55" s="82"/>
      <c r="B55" s="83"/>
      <c r="C55" s="75"/>
    </row>
    <row r="56" spans="1:10" ht="16.5" thickBot="1">
      <c r="A56" s="82"/>
      <c r="B56" s="83"/>
      <c r="C56" s="92"/>
      <c r="F56" s="61" t="e">
        <f>'[1]Financial Statement August 2020'!$C$33</f>
        <v>#REF!</v>
      </c>
      <c r="H56" s="61" t="e">
        <f>C49+F56</f>
        <v>#REF!</v>
      </c>
    </row>
    <row r="57" spans="1:10" ht="16.5" thickTop="1">
      <c r="A57" s="82"/>
      <c r="B57" s="83"/>
    </row>
  </sheetData>
  <mergeCells count="3">
    <mergeCell ref="A2:C2"/>
    <mergeCell ref="A3:C3"/>
    <mergeCell ref="A4:C4"/>
  </mergeCells>
  <pageMargins left="0.70866141732283472" right="0.70866141732283472" top="0.74803149606299213" bottom="0.74803149606299213" header="0.31496062992125984" footer="0.31496062992125984"/>
  <pageSetup paperSize="9" scale="96" orientation="portrait" r:id="rId1"/>
</worksheet>
</file>

<file path=xl/worksheets/sheet11.xml><?xml version="1.0" encoding="utf-8"?>
<worksheet xmlns="http://schemas.openxmlformats.org/spreadsheetml/2006/main" xmlns:r="http://schemas.openxmlformats.org/officeDocument/2006/relationships">
  <sheetPr>
    <pageSetUpPr fitToPage="1"/>
  </sheetPr>
  <dimension ref="A1:F53"/>
  <sheetViews>
    <sheetView workbookViewId="0">
      <selection activeCell="C44" sqref="A1:C44"/>
    </sheetView>
  </sheetViews>
  <sheetFormatPr defaultRowHeight="15"/>
  <cols>
    <col min="1" max="1" width="71.28515625" bestFit="1" customWidth="1"/>
    <col min="2" max="2" width="15.7109375" bestFit="1" customWidth="1"/>
    <col min="3" max="3" width="12.7109375" bestFit="1" customWidth="1"/>
  </cols>
  <sheetData>
    <row r="1" spans="1:3" ht="18.75">
      <c r="A1" s="278" t="s">
        <v>115</v>
      </c>
      <c r="B1" s="278"/>
      <c r="C1" s="278"/>
    </row>
    <row r="2" spans="1:3" ht="18.75">
      <c r="A2" s="278" t="s">
        <v>84</v>
      </c>
      <c r="B2" s="278"/>
      <c r="C2" s="278"/>
    </row>
    <row r="3" spans="1:3" ht="18.75">
      <c r="A3" s="278" t="s">
        <v>307</v>
      </c>
      <c r="B3" s="278"/>
      <c r="C3" s="278"/>
    </row>
    <row r="4" spans="1:3" ht="15.75">
      <c r="A4" s="75"/>
      <c r="B4" s="74"/>
      <c r="C4" s="74"/>
    </row>
    <row r="5" spans="1:3" ht="18.75">
      <c r="A5" s="76" t="s">
        <v>85</v>
      </c>
      <c r="B5" s="74"/>
      <c r="C5" s="74"/>
    </row>
    <row r="6" spans="1:3" ht="15.75">
      <c r="A6" s="75"/>
      <c r="B6" s="74"/>
      <c r="C6" s="74"/>
    </row>
    <row r="7" spans="1:3" ht="15.75">
      <c r="A7" s="77" t="s">
        <v>86</v>
      </c>
      <c r="B7" s="75"/>
      <c r="C7" s="75"/>
    </row>
    <row r="8" spans="1:3" ht="15.75">
      <c r="A8" s="75" t="s">
        <v>119</v>
      </c>
      <c r="B8" s="150">
        <f>2*12553</f>
        <v>25106</v>
      </c>
      <c r="C8" s="150"/>
    </row>
    <row r="9" spans="1:3" ht="15.75">
      <c r="A9" s="75" t="s">
        <v>136</v>
      </c>
      <c r="B9" s="150">
        <f>1371.15+1906.8</f>
        <v>3277.95</v>
      </c>
      <c r="C9" s="150"/>
    </row>
    <row r="10" spans="1:3" ht="15.75">
      <c r="A10" s="75" t="s">
        <v>166</v>
      </c>
      <c r="B10" s="150">
        <v>2578.04</v>
      </c>
      <c r="C10" s="150"/>
    </row>
    <row r="11" spans="1:3" ht="15.75">
      <c r="A11" s="75" t="s">
        <v>5</v>
      </c>
      <c r="B11" s="150">
        <v>0.21</v>
      </c>
      <c r="C11" s="150"/>
    </row>
    <row r="12" spans="1:3" ht="15.75">
      <c r="A12" s="79"/>
      <c r="B12" s="161">
        <f>SUM(B8:B11)</f>
        <v>30962.2</v>
      </c>
      <c r="C12" s="150"/>
    </row>
    <row r="13" spans="1:3" ht="15.75">
      <c r="A13" s="79"/>
      <c r="B13" s="162"/>
      <c r="C13" s="150"/>
    </row>
    <row r="14" spans="1:3" ht="15.75">
      <c r="A14" s="77" t="s">
        <v>87</v>
      </c>
      <c r="B14" s="150"/>
      <c r="C14" s="150"/>
    </row>
    <row r="15" spans="1:3" ht="15.75">
      <c r="A15" s="75" t="s">
        <v>88</v>
      </c>
      <c r="B15" s="155">
        <f>'Budget over Expenditure 23-24'!C6+'Budget over Expenditure 23-24'!D6+'Budget over Expenditure 23-24'!E6+'Budget over Expenditure 23-24'!F6+'Budget over Expenditure 23-24'!G6+'Budget over Expenditure 23-24'!H6</f>
        <v>90</v>
      </c>
      <c r="C15" s="150"/>
    </row>
    <row r="16" spans="1:3" ht="15.75">
      <c r="A16" s="75" t="s">
        <v>117</v>
      </c>
      <c r="B16" s="155">
        <f>'Budget over Expenditure 23-24'!C5+'Budget over Expenditure 23-24'!D5+'Budget over Expenditure 23-24'!E5+'Budget over Expenditure 23-24'!F5+'Budget over Expenditure 23-24'!G5+'Budget over Expenditure 23-24'!H5</f>
        <v>892.32</v>
      </c>
      <c r="C16" s="150"/>
    </row>
    <row r="17" spans="1:5" ht="15.75">
      <c r="A17" s="75" t="s">
        <v>89</v>
      </c>
      <c r="B17" s="155">
        <f>'Budget over Expenditure 23-24'!C9+'Budget over Expenditure 23-24'!D9+'Budget over Expenditure 23-24'!E9+'Budget over Expenditure 23-24'!F9+'Budget over Expenditure 23-24'!G9+'Budget over Expenditure 23-24'!H9</f>
        <v>1804.48</v>
      </c>
      <c r="C17" s="150"/>
    </row>
    <row r="18" spans="1:5" ht="15.75">
      <c r="A18" s="75" t="s">
        <v>256</v>
      </c>
      <c r="B18" s="155">
        <v>28.78</v>
      </c>
      <c r="C18" s="150"/>
    </row>
    <row r="19" spans="1:5" ht="15.75">
      <c r="A19" s="75" t="s">
        <v>9</v>
      </c>
      <c r="B19" s="155">
        <v>639.86</v>
      </c>
      <c r="C19" s="150"/>
    </row>
    <row r="20" spans="1:5" ht="15.75">
      <c r="A20" s="75" t="s">
        <v>196</v>
      </c>
      <c r="B20" s="155">
        <f>'Budget over Expenditure 23-24'!D15+'Budget over Expenditure 23-24'!F15+'Budget over Expenditure 23-24'!G15</f>
        <v>3932.16</v>
      </c>
      <c r="C20" s="150"/>
    </row>
    <row r="21" spans="1:5" ht="15.75">
      <c r="A21" s="75" t="s">
        <v>6</v>
      </c>
      <c r="B21" s="155">
        <v>60</v>
      </c>
      <c r="C21" s="150"/>
    </row>
    <row r="22" spans="1:5" ht="15.75">
      <c r="A22" s="75" t="s">
        <v>122</v>
      </c>
      <c r="B22" s="155">
        <v>4345.2</v>
      </c>
      <c r="C22" s="150"/>
    </row>
    <row r="23" spans="1:5" ht="15.75">
      <c r="A23" s="82" t="s">
        <v>7</v>
      </c>
      <c r="B23" s="156">
        <v>545.57000000000005</v>
      </c>
      <c r="C23" s="150"/>
      <c r="E23" s="102"/>
    </row>
    <row r="24" spans="1:5" ht="15.75">
      <c r="A24" s="82" t="s">
        <v>205</v>
      </c>
      <c r="B24" s="156">
        <f>'Budget over Expenditure 23-24'!F14</f>
        <v>111.06</v>
      </c>
      <c r="C24" s="150"/>
      <c r="E24" s="102"/>
    </row>
    <row r="25" spans="1:5" ht="15.75">
      <c r="A25" s="82" t="s">
        <v>308</v>
      </c>
      <c r="B25" s="156">
        <f>'Budget over Expenditure 23-24'!F13</f>
        <v>117.6</v>
      </c>
      <c r="C25" s="150"/>
      <c r="E25" s="102"/>
    </row>
    <row r="26" spans="1:5" ht="15.75">
      <c r="A26" s="82" t="s">
        <v>4</v>
      </c>
      <c r="B26" s="156">
        <f>'Budget over Expenditure 23-24'!C7+'Budget over Expenditure 23-24'!D7+'Budget over Expenditure 23-24'!E7+'Budget over Expenditure 23-24'!F7+'Budget over Expenditure 23-24'!G7+'Budget over Expenditure 23-24'!H7</f>
        <v>443.40000000000003</v>
      </c>
      <c r="C26" s="150"/>
    </row>
    <row r="27" spans="1:5" ht="15.75">
      <c r="A27" s="82"/>
      <c r="B27" s="151">
        <f>SUM(B15:B26)</f>
        <v>13010.429999999998</v>
      </c>
      <c r="C27" s="163"/>
    </row>
    <row r="28" spans="1:5">
      <c r="A28" s="84"/>
      <c r="B28" s="163"/>
      <c r="C28" s="163"/>
    </row>
    <row r="29" spans="1:5" ht="15.75">
      <c r="A29" s="77" t="s">
        <v>90</v>
      </c>
      <c r="B29" s="150"/>
      <c r="C29" s="150"/>
    </row>
    <row r="30" spans="1:5" ht="15.75">
      <c r="A30" s="75" t="s">
        <v>258</v>
      </c>
      <c r="B30" s="150">
        <f>23527.07+25.85</f>
        <v>23552.92</v>
      </c>
      <c r="C30" s="162"/>
    </row>
    <row r="31" spans="1:5" ht="15.75">
      <c r="A31" s="75" t="s">
        <v>309</v>
      </c>
      <c r="B31" s="150">
        <f>B12-B27</f>
        <v>17951.770000000004</v>
      </c>
      <c r="C31" s="150"/>
    </row>
    <row r="32" spans="1:5" ht="16.5" thickBot="1">
      <c r="A32" s="77" t="s">
        <v>16</v>
      </c>
      <c r="B32" s="164"/>
      <c r="C32" s="165">
        <f>SUM(B30:B31)</f>
        <v>41504.69</v>
      </c>
    </row>
    <row r="33" spans="1:6" ht="16.5" thickTop="1">
      <c r="A33" s="77"/>
      <c r="B33" s="150"/>
      <c r="C33" s="150"/>
    </row>
    <row r="34" spans="1:6" ht="15.75">
      <c r="A34" s="77" t="s">
        <v>91</v>
      </c>
      <c r="B34" s="150"/>
      <c r="C34" s="150"/>
    </row>
    <row r="35" spans="1:6" ht="15.75">
      <c r="A35" s="77"/>
      <c r="B35" s="150"/>
      <c r="C35" s="150"/>
    </row>
    <row r="36" spans="1:6" ht="15.75">
      <c r="A36" s="75" t="s">
        <v>92</v>
      </c>
      <c r="B36" s="166">
        <f>41478.63+26.06</f>
        <v>41504.689999999995</v>
      </c>
      <c r="C36" s="150"/>
    </row>
    <row r="37" spans="1:6" ht="15.75">
      <c r="A37" s="75"/>
      <c r="B37" s="162"/>
      <c r="C37" s="150"/>
    </row>
    <row r="38" spans="1:6" ht="16.5" thickBot="1">
      <c r="A38" s="90"/>
      <c r="B38" s="167"/>
      <c r="C38" s="168">
        <f>SUM(B36:B37)</f>
        <v>41504.689999999995</v>
      </c>
      <c r="E38" s="61"/>
    </row>
    <row r="39" spans="1:6" ht="15.75">
      <c r="A39" s="75"/>
      <c r="B39" s="150"/>
      <c r="C39" s="150"/>
    </row>
    <row r="40" spans="1:6" ht="15.75">
      <c r="A40" s="77" t="s">
        <v>93</v>
      </c>
      <c r="B40" s="150"/>
      <c r="C40" s="150"/>
    </row>
    <row r="41" spans="1:6" ht="15.75">
      <c r="A41" s="82"/>
      <c r="B41" s="169"/>
      <c r="C41" s="150"/>
    </row>
    <row r="42" spans="1:6" ht="16.5" thickBot="1">
      <c r="A42" s="82"/>
      <c r="B42" s="169"/>
      <c r="C42" s="165">
        <f>C38-SUM(B41:B48)</f>
        <v>41504.689999999995</v>
      </c>
    </row>
    <row r="43" spans="1:6" ht="16.5" thickTop="1">
      <c r="A43" s="82"/>
      <c r="B43" s="169"/>
      <c r="C43" s="170"/>
    </row>
    <row r="44" spans="1:6" ht="15.75">
      <c r="A44" s="82"/>
      <c r="B44" s="169"/>
      <c r="C44" s="162"/>
    </row>
    <row r="45" spans="1:6" ht="15.75">
      <c r="A45" s="82"/>
      <c r="B45" s="169"/>
      <c r="C45" s="162"/>
      <c r="E45" s="61"/>
    </row>
    <row r="46" spans="1:6" ht="15.75">
      <c r="A46" s="82"/>
      <c r="B46" s="169"/>
      <c r="C46" s="162"/>
    </row>
    <row r="47" spans="1:6" ht="15.75">
      <c r="A47" s="250"/>
      <c r="B47" s="162"/>
      <c r="C47" s="162"/>
      <c r="D47" s="97"/>
      <c r="E47" s="192"/>
      <c r="F47" s="97"/>
    </row>
    <row r="48" spans="1:6" ht="15.75">
      <c r="A48" s="82"/>
      <c r="B48" s="169"/>
      <c r="C48" s="162"/>
      <c r="D48" s="97"/>
      <c r="E48" s="97"/>
      <c r="F48" s="97"/>
    </row>
    <row r="49" spans="1:6" ht="15.75">
      <c r="A49" s="82"/>
      <c r="B49" s="169"/>
      <c r="C49" s="202"/>
      <c r="D49" s="97"/>
      <c r="E49" s="97"/>
      <c r="F49" s="97"/>
    </row>
    <row r="50" spans="1:6" ht="15.75">
      <c r="A50" s="82"/>
      <c r="B50" s="169"/>
      <c r="D50" s="97"/>
      <c r="E50" s="97"/>
      <c r="F50" s="97"/>
    </row>
    <row r="51" spans="1:6" ht="15.75">
      <c r="A51" s="82"/>
      <c r="B51" s="169"/>
      <c r="D51" s="97"/>
      <c r="E51" s="97"/>
      <c r="F51" s="97"/>
    </row>
    <row r="52" spans="1:6" ht="15.75">
      <c r="A52" s="82"/>
      <c r="B52" s="169"/>
      <c r="D52" s="97"/>
      <c r="E52" s="97"/>
      <c r="F52" s="97"/>
    </row>
    <row r="53" spans="1:6" ht="15.75">
      <c r="A53" s="82"/>
      <c r="B53" s="83"/>
    </row>
  </sheetData>
  <mergeCells count="3">
    <mergeCell ref="A2:C2"/>
    <mergeCell ref="A3:C3"/>
    <mergeCell ref="A1:C1"/>
  </mergeCells>
  <pageMargins left="0.70866141732283472" right="0.70866141732283472" top="0.74803149606299213" bottom="0.74803149606299213" header="0.31496062992125984" footer="0.31496062992125984"/>
  <pageSetup paperSize="9" scale="87" orientation="portrait" r:id="rId1"/>
</worksheet>
</file>

<file path=xl/worksheets/sheet12.xml><?xml version="1.0" encoding="utf-8"?>
<worksheet xmlns="http://schemas.openxmlformats.org/spreadsheetml/2006/main" xmlns:r="http://schemas.openxmlformats.org/officeDocument/2006/relationships">
  <sheetPr>
    <pageSetUpPr fitToPage="1"/>
  </sheetPr>
  <dimension ref="A1:T32"/>
  <sheetViews>
    <sheetView workbookViewId="0"/>
  </sheetViews>
  <sheetFormatPr defaultRowHeight="15"/>
  <cols>
    <col min="1" max="1" width="38" bestFit="1" customWidth="1"/>
    <col min="3" max="4" width="11.5703125" bestFit="1" customWidth="1"/>
    <col min="5" max="7" width="10.5703125" bestFit="1" customWidth="1"/>
    <col min="8" max="8" width="11.5703125" bestFit="1" customWidth="1"/>
    <col min="9" max="9" width="10.5703125" bestFit="1" customWidth="1"/>
    <col min="10" max="10" width="10.42578125" bestFit="1" customWidth="1"/>
    <col min="11" max="11" width="10.140625" bestFit="1" customWidth="1"/>
    <col min="13" max="14" width="10.5703125" bestFit="1" customWidth="1"/>
    <col min="15" max="17" width="11.5703125" bestFit="1" customWidth="1"/>
  </cols>
  <sheetData>
    <row r="1" spans="1:20">
      <c r="A1" s="62"/>
      <c r="B1" s="63" t="s">
        <v>94</v>
      </c>
      <c r="C1" s="2"/>
      <c r="D1" s="2"/>
      <c r="E1" s="2"/>
      <c r="F1" s="2"/>
      <c r="G1" s="2"/>
      <c r="H1" s="2"/>
      <c r="I1" s="2"/>
      <c r="J1" s="2"/>
      <c r="K1" s="2"/>
      <c r="L1" s="2"/>
      <c r="M1" s="2"/>
      <c r="N1" s="2"/>
      <c r="O1" s="2"/>
      <c r="P1" s="2"/>
    </row>
    <row r="2" spans="1:20">
      <c r="A2" s="62"/>
      <c r="B2" s="203" t="s">
        <v>216</v>
      </c>
      <c r="C2" s="2" t="s">
        <v>71</v>
      </c>
      <c r="D2" s="2" t="s">
        <v>72</v>
      </c>
      <c r="E2" s="2" t="s">
        <v>73</v>
      </c>
      <c r="F2" s="2" t="s">
        <v>74</v>
      </c>
      <c r="G2" s="2" t="s">
        <v>75</v>
      </c>
      <c r="H2" s="2" t="s">
        <v>76</v>
      </c>
      <c r="I2" s="2" t="s">
        <v>77</v>
      </c>
      <c r="J2" s="2" t="s">
        <v>78</v>
      </c>
      <c r="K2" s="2" t="s">
        <v>79</v>
      </c>
      <c r="L2" s="2" t="s">
        <v>80</v>
      </c>
      <c r="M2" s="2" t="s">
        <v>81</v>
      </c>
      <c r="N2" s="2" t="s">
        <v>82</v>
      </c>
      <c r="O2" s="2" t="s">
        <v>16</v>
      </c>
      <c r="P2" s="2" t="s">
        <v>15</v>
      </c>
      <c r="Q2" s="2" t="s">
        <v>83</v>
      </c>
    </row>
    <row r="3" spans="1:20">
      <c r="A3" s="67" t="s">
        <v>95</v>
      </c>
      <c r="B3" s="171">
        <v>480</v>
      </c>
      <c r="C3" s="93"/>
      <c r="D3" s="93"/>
      <c r="E3" s="93"/>
      <c r="F3" s="93"/>
      <c r="G3" s="93"/>
      <c r="H3" s="93"/>
      <c r="I3" s="93"/>
      <c r="J3" s="93"/>
      <c r="K3" s="93"/>
      <c r="L3" s="93"/>
      <c r="M3" s="93"/>
      <c r="N3" s="93"/>
      <c r="O3" s="93">
        <f t="shared" ref="O3:O21" si="0">SUM(C3:N3)</f>
        <v>0</v>
      </c>
      <c r="P3" s="93"/>
      <c r="Q3" s="93">
        <f>B3-O3</f>
        <v>480</v>
      </c>
    </row>
    <row r="4" spans="1:20">
      <c r="A4" s="67" t="s">
        <v>131</v>
      </c>
      <c r="B4" s="171">
        <v>120</v>
      </c>
      <c r="C4" s="93"/>
      <c r="D4" s="93"/>
      <c r="E4" s="93"/>
      <c r="F4" s="93"/>
      <c r="G4" s="93"/>
      <c r="H4" s="93"/>
      <c r="I4" s="93"/>
      <c r="J4" s="93"/>
      <c r="K4" s="93"/>
      <c r="L4" s="93"/>
      <c r="M4" s="93"/>
      <c r="N4" s="93"/>
      <c r="O4" s="93">
        <f t="shared" si="0"/>
        <v>0</v>
      </c>
      <c r="P4" s="93"/>
      <c r="Q4" s="93">
        <f>B4-O4</f>
        <v>120</v>
      </c>
    </row>
    <row r="5" spans="1:20">
      <c r="A5" s="67" t="s">
        <v>97</v>
      </c>
      <c r="B5" s="171">
        <v>1650</v>
      </c>
      <c r="C5" s="160">
        <v>148.72</v>
      </c>
      <c r="D5" s="160">
        <v>148.72</v>
      </c>
      <c r="E5" s="160">
        <v>148.72</v>
      </c>
      <c r="F5" s="93">
        <v>148.72</v>
      </c>
      <c r="G5" s="93">
        <v>148.72</v>
      </c>
      <c r="H5" s="93">
        <v>148.72</v>
      </c>
      <c r="I5" s="93">
        <v>148.72</v>
      </c>
      <c r="J5" s="93">
        <v>148.72</v>
      </c>
      <c r="K5" s="93">
        <v>188.72</v>
      </c>
      <c r="L5" s="93">
        <v>148.72</v>
      </c>
      <c r="M5" s="93">
        <v>148.72</v>
      </c>
      <c r="N5" s="93">
        <v>148.72</v>
      </c>
      <c r="O5" s="93">
        <f t="shared" si="0"/>
        <v>1824.64</v>
      </c>
      <c r="P5" s="93"/>
      <c r="Q5" s="93">
        <f t="shared" ref="Q5:Q18" si="1">B5-O5</f>
        <v>-174.6400000000001</v>
      </c>
    </row>
    <row r="6" spans="1:20">
      <c r="A6" s="69" t="s">
        <v>60</v>
      </c>
      <c r="B6" s="171">
        <v>216</v>
      </c>
      <c r="C6" s="160">
        <v>15</v>
      </c>
      <c r="D6" s="160">
        <v>15</v>
      </c>
      <c r="E6" s="160">
        <v>15</v>
      </c>
      <c r="F6" s="93">
        <v>15</v>
      </c>
      <c r="G6" s="93">
        <v>15</v>
      </c>
      <c r="H6" s="93">
        <v>15</v>
      </c>
      <c r="I6" s="93">
        <v>15</v>
      </c>
      <c r="J6" s="93">
        <f>21+18</f>
        <v>39</v>
      </c>
      <c r="K6" s="93">
        <v>18</v>
      </c>
      <c r="L6" s="93">
        <v>18</v>
      </c>
      <c r="M6" s="93">
        <v>18</v>
      </c>
      <c r="N6" s="93">
        <v>18</v>
      </c>
      <c r="O6" s="93">
        <f>SUM(C6:N6)</f>
        <v>216</v>
      </c>
      <c r="P6" s="93"/>
      <c r="Q6" s="93">
        <f t="shared" si="1"/>
        <v>0</v>
      </c>
    </row>
    <row r="7" spans="1:20">
      <c r="A7" s="69" t="s">
        <v>4</v>
      </c>
      <c r="B7" s="171">
        <v>450</v>
      </c>
      <c r="C7" s="160">
        <v>73.8</v>
      </c>
      <c r="D7" s="160">
        <v>74</v>
      </c>
      <c r="E7" s="160">
        <v>74</v>
      </c>
      <c r="F7" s="93">
        <v>73.8</v>
      </c>
      <c r="G7" s="93">
        <v>73.8</v>
      </c>
      <c r="H7" s="93">
        <v>74</v>
      </c>
      <c r="I7" s="93">
        <v>73.8</v>
      </c>
      <c r="J7" s="93">
        <v>100</v>
      </c>
      <c r="K7" s="93">
        <v>77</v>
      </c>
      <c r="L7" s="93">
        <v>77.2</v>
      </c>
      <c r="M7" s="93">
        <v>77.2</v>
      </c>
      <c r="N7" s="93">
        <v>77.2</v>
      </c>
      <c r="O7" s="93">
        <f t="shared" si="0"/>
        <v>925.80000000000018</v>
      </c>
      <c r="P7" s="93"/>
      <c r="Q7" s="93">
        <f t="shared" si="1"/>
        <v>-475.80000000000018</v>
      </c>
    </row>
    <row r="8" spans="1:20">
      <c r="A8" s="69" t="s">
        <v>6</v>
      </c>
      <c r="B8" s="171">
        <v>60</v>
      </c>
      <c r="C8" s="160"/>
      <c r="D8" s="160">
        <v>60</v>
      </c>
      <c r="E8" s="160"/>
      <c r="F8" s="93"/>
      <c r="G8" s="93"/>
      <c r="H8" s="93"/>
      <c r="I8" s="93"/>
      <c r="J8" s="93"/>
      <c r="K8" s="93"/>
      <c r="L8" s="93"/>
      <c r="M8" s="93"/>
      <c r="N8" s="93"/>
      <c r="O8" s="93">
        <f t="shared" si="0"/>
        <v>60</v>
      </c>
      <c r="P8" s="93"/>
      <c r="Q8" s="93">
        <f t="shared" si="1"/>
        <v>0</v>
      </c>
    </row>
    <row r="9" spans="1:20">
      <c r="A9" s="67" t="s">
        <v>118</v>
      </c>
      <c r="B9" s="171">
        <v>5500</v>
      </c>
      <c r="C9" s="160">
        <v>310.88</v>
      </c>
      <c r="D9" s="160">
        <v>295.68</v>
      </c>
      <c r="E9" s="160">
        <v>295.68</v>
      </c>
      <c r="F9" s="93">
        <f>325.88-15</f>
        <v>310.88</v>
      </c>
      <c r="G9" s="93">
        <v>295.68</v>
      </c>
      <c r="H9" s="93">
        <v>295.68</v>
      </c>
      <c r="I9" s="93">
        <v>310.88</v>
      </c>
      <c r="J9" s="93">
        <f>385.84+(0.63*30*6)-100</f>
        <v>399.23999999999995</v>
      </c>
      <c r="K9" s="93">
        <f>385.84-77</f>
        <v>308.83999999999997</v>
      </c>
      <c r="L9" s="93">
        <v>305.64</v>
      </c>
      <c r="M9" s="93">
        <v>311.64</v>
      </c>
      <c r="N9" s="93">
        <v>308.64</v>
      </c>
      <c r="O9" s="93">
        <f t="shared" si="0"/>
        <v>3749.3599999999997</v>
      </c>
      <c r="P9" s="93"/>
      <c r="Q9" s="93">
        <f t="shared" si="1"/>
        <v>1750.6400000000003</v>
      </c>
    </row>
    <row r="10" spans="1:20">
      <c r="A10" s="67" t="s">
        <v>7</v>
      </c>
      <c r="B10" s="171">
        <v>650</v>
      </c>
      <c r="C10" s="160">
        <v>545.57000000000005</v>
      </c>
      <c r="D10" s="160"/>
      <c r="E10" s="160"/>
      <c r="F10" s="93"/>
      <c r="G10" s="93"/>
      <c r="H10" s="93"/>
      <c r="I10" s="93"/>
      <c r="J10" s="93"/>
      <c r="K10" s="93"/>
      <c r="L10" s="93"/>
      <c r="M10" s="93"/>
      <c r="N10" s="93"/>
      <c r="O10" s="93">
        <f t="shared" si="0"/>
        <v>545.57000000000005</v>
      </c>
      <c r="P10" s="93">
        <f>O10/120*20</f>
        <v>90.928333333333342</v>
      </c>
      <c r="Q10" s="93">
        <f t="shared" si="1"/>
        <v>104.42999999999995</v>
      </c>
    </row>
    <row r="11" spans="1:20">
      <c r="A11" s="67" t="s">
        <v>102</v>
      </c>
      <c r="B11" s="171">
        <v>9500</v>
      </c>
      <c r="C11" s="160"/>
      <c r="D11" s="160">
        <v>4345.2</v>
      </c>
      <c r="E11" s="160"/>
      <c r="F11" s="93"/>
      <c r="G11" s="93"/>
      <c r="H11" s="93"/>
      <c r="I11" s="93">
        <v>4804.8</v>
      </c>
      <c r="J11" s="93"/>
      <c r="K11" s="93"/>
      <c r="L11" s="93"/>
      <c r="M11" s="93"/>
      <c r="N11" s="93"/>
      <c r="O11" s="93">
        <f t="shared" si="0"/>
        <v>9150</v>
      </c>
      <c r="P11" s="93"/>
      <c r="Q11" s="93">
        <f t="shared" si="1"/>
        <v>350</v>
      </c>
    </row>
    <row r="12" spans="1:20" ht="14.25" customHeight="1">
      <c r="A12" s="67" t="s">
        <v>9</v>
      </c>
      <c r="B12" s="171">
        <v>650</v>
      </c>
      <c r="C12" s="160"/>
      <c r="D12" s="160">
        <v>639.86</v>
      </c>
      <c r="E12" s="160"/>
      <c r="F12" s="93"/>
      <c r="G12" s="93"/>
      <c r="H12" s="93"/>
      <c r="I12" s="93"/>
      <c r="J12" s="93"/>
      <c r="K12" s="93"/>
      <c r="L12" s="93"/>
      <c r="M12" s="93"/>
      <c r="N12" s="93"/>
      <c r="O12" s="93">
        <f t="shared" si="0"/>
        <v>639.86</v>
      </c>
      <c r="P12" s="93"/>
      <c r="Q12" s="93">
        <f t="shared" si="1"/>
        <v>10.139999999999986</v>
      </c>
    </row>
    <row r="13" spans="1:20">
      <c r="A13" s="62" t="s">
        <v>106</v>
      </c>
      <c r="B13" s="171">
        <v>2500</v>
      </c>
      <c r="C13" s="160"/>
      <c r="D13" s="160"/>
      <c r="E13" s="160"/>
      <c r="F13" s="93">
        <v>117.6</v>
      </c>
      <c r="G13" s="93"/>
      <c r="H13" s="93"/>
      <c r="I13" s="93">
        <v>218.85</v>
      </c>
      <c r="J13" s="93"/>
      <c r="K13" s="93"/>
      <c r="L13" s="93"/>
      <c r="M13" s="93"/>
      <c r="N13" s="93"/>
      <c r="O13" s="93">
        <f t="shared" si="0"/>
        <v>336.45</v>
      </c>
      <c r="P13" s="93"/>
      <c r="Q13" s="93">
        <f t="shared" si="1"/>
        <v>2163.5500000000002</v>
      </c>
    </row>
    <row r="14" spans="1:20" ht="30">
      <c r="A14" s="71" t="s">
        <v>162</v>
      </c>
      <c r="B14" s="171">
        <v>2000</v>
      </c>
      <c r="C14" s="160"/>
      <c r="D14" s="160"/>
      <c r="E14" s="160"/>
      <c r="F14" s="93">
        <v>111.06</v>
      </c>
      <c r="G14" s="93"/>
      <c r="H14" s="93"/>
      <c r="I14" s="93">
        <v>70.349999999999994</v>
      </c>
      <c r="J14" s="93"/>
      <c r="K14" s="93"/>
      <c r="L14" s="93">
        <v>111.06</v>
      </c>
      <c r="M14" s="93"/>
      <c r="N14" s="93">
        <f>30.6+90.66+180+430</f>
        <v>731.26</v>
      </c>
      <c r="O14" s="93">
        <f t="shared" si="0"/>
        <v>1023.73</v>
      </c>
      <c r="P14" s="93">
        <f>(H14+G14+F14+E14+L14+K14)/120*20+5.1+30</f>
        <v>72.12</v>
      </c>
      <c r="Q14" s="93">
        <f t="shared" si="1"/>
        <v>976.27</v>
      </c>
      <c r="S14" s="236"/>
      <c r="T14" s="236"/>
    </row>
    <row r="15" spans="1:20" ht="15.75">
      <c r="A15" s="71" t="s">
        <v>254</v>
      </c>
      <c r="B15" s="171"/>
      <c r="C15" s="160"/>
      <c r="D15" s="160">
        <v>1144.08</v>
      </c>
      <c r="E15" s="160"/>
      <c r="F15" s="93">
        <v>1144.08</v>
      </c>
      <c r="G15" s="93">
        <v>1644</v>
      </c>
      <c r="H15" s="93"/>
      <c r="I15" s="93"/>
      <c r="J15" s="93"/>
      <c r="K15" s="93"/>
      <c r="L15" s="93"/>
      <c r="M15" s="93"/>
      <c r="N15" s="93"/>
      <c r="O15" s="93">
        <f t="shared" si="0"/>
        <v>3932.16</v>
      </c>
      <c r="P15" s="93">
        <f>O15/120*20</f>
        <v>655.36</v>
      </c>
      <c r="Q15" s="93"/>
      <c r="S15" s="236"/>
    </row>
    <row r="16" spans="1:20" ht="15.75">
      <c r="A16" s="62" t="s">
        <v>132</v>
      </c>
      <c r="B16" s="171">
        <v>500</v>
      </c>
      <c r="C16" s="160"/>
      <c r="D16" s="160"/>
      <c r="E16" s="160"/>
      <c r="F16" s="93"/>
      <c r="G16" s="93"/>
      <c r="H16" s="93"/>
      <c r="I16" s="93"/>
      <c r="J16" s="93"/>
      <c r="K16" s="93"/>
      <c r="L16" s="93"/>
      <c r="M16" s="93"/>
      <c r="N16" s="93"/>
      <c r="O16" s="93">
        <f t="shared" si="0"/>
        <v>0</v>
      </c>
      <c r="P16" s="93"/>
      <c r="Q16" s="93">
        <f t="shared" si="1"/>
        <v>500</v>
      </c>
      <c r="S16" s="236"/>
      <c r="T16" s="236"/>
    </row>
    <row r="17" spans="1:20" ht="15.75">
      <c r="A17" s="62" t="s">
        <v>8</v>
      </c>
      <c r="B17" s="171">
        <v>280</v>
      </c>
      <c r="C17" s="160"/>
      <c r="D17" s="160"/>
      <c r="E17" s="160"/>
      <c r="F17" s="93"/>
      <c r="G17" s="93"/>
      <c r="H17" s="93"/>
      <c r="I17" s="93"/>
      <c r="J17" s="93"/>
      <c r="K17" s="93"/>
      <c r="L17" s="93">
        <v>300</v>
      </c>
      <c r="M17" s="93"/>
      <c r="N17" s="93"/>
      <c r="O17" s="93">
        <f t="shared" si="0"/>
        <v>300</v>
      </c>
      <c r="P17" s="93">
        <f>O17/120*20</f>
        <v>50</v>
      </c>
      <c r="Q17" s="93">
        <f t="shared" si="1"/>
        <v>-20</v>
      </c>
      <c r="S17" s="236"/>
    </row>
    <row r="18" spans="1:20" ht="15.75">
      <c r="A18" s="62" t="s">
        <v>114</v>
      </c>
      <c r="B18" s="171">
        <v>350</v>
      </c>
      <c r="C18" s="160"/>
      <c r="D18" s="160"/>
      <c r="E18" s="160"/>
      <c r="F18" s="93"/>
      <c r="G18" s="93"/>
      <c r="H18" s="93"/>
      <c r="I18" s="93"/>
      <c r="J18" s="93"/>
      <c r="K18" s="93"/>
      <c r="L18" s="93"/>
      <c r="M18" s="93"/>
      <c r="N18" s="93"/>
      <c r="O18" s="93">
        <f t="shared" si="0"/>
        <v>0</v>
      </c>
      <c r="P18" s="93"/>
      <c r="Q18" s="93">
        <f t="shared" si="1"/>
        <v>350</v>
      </c>
      <c r="S18" s="236"/>
      <c r="T18" s="236"/>
    </row>
    <row r="19" spans="1:20" ht="15.75">
      <c r="A19" s="62" t="s">
        <v>63</v>
      </c>
      <c r="B19" s="171">
        <v>50</v>
      </c>
      <c r="C19" s="2"/>
      <c r="D19" s="2"/>
      <c r="E19" s="2"/>
      <c r="F19" s="2"/>
      <c r="G19" s="2"/>
      <c r="H19" s="2"/>
      <c r="I19" s="2"/>
      <c r="J19" s="2"/>
      <c r="K19" s="2"/>
      <c r="L19" s="2"/>
      <c r="M19" s="2"/>
      <c r="N19" s="2"/>
      <c r="O19" s="93">
        <f t="shared" si="0"/>
        <v>0</v>
      </c>
      <c r="P19" s="93"/>
      <c r="Q19" s="93">
        <f>B19-O19</f>
        <v>50</v>
      </c>
      <c r="S19" s="236"/>
    </row>
    <row r="20" spans="1:20" ht="15.75">
      <c r="A20" s="62" t="s">
        <v>64</v>
      </c>
      <c r="B20" s="171">
        <v>150</v>
      </c>
      <c r="C20" s="2"/>
      <c r="D20" s="2">
        <v>28.78</v>
      </c>
      <c r="E20" s="2"/>
      <c r="F20" s="2"/>
      <c r="G20" s="2"/>
      <c r="H20" s="2"/>
      <c r="I20" s="2"/>
      <c r="J20" s="2"/>
      <c r="K20" s="2">
        <v>143.86000000000001</v>
      </c>
      <c r="L20" s="2"/>
      <c r="M20" s="2"/>
      <c r="N20" s="2"/>
      <c r="O20" s="93">
        <f t="shared" si="0"/>
        <v>172.64000000000001</v>
      </c>
      <c r="P20" s="93">
        <f>O20/120*20</f>
        <v>28.773333333333333</v>
      </c>
      <c r="Q20" s="93">
        <f>B20-O20</f>
        <v>-22.640000000000015</v>
      </c>
      <c r="S20" s="236"/>
      <c r="T20" s="236"/>
    </row>
    <row r="21" spans="1:20" ht="15.75">
      <c r="A21" s="62"/>
      <c r="C21" s="2"/>
      <c r="D21" s="2"/>
      <c r="E21" s="2"/>
      <c r="F21" s="2"/>
      <c r="G21" s="2"/>
      <c r="H21" s="2"/>
      <c r="I21" s="2"/>
      <c r="J21" s="2"/>
      <c r="K21" s="2"/>
      <c r="L21" s="2"/>
      <c r="M21" s="2"/>
      <c r="N21" s="2"/>
      <c r="O21" s="93">
        <f t="shared" si="0"/>
        <v>0</v>
      </c>
      <c r="P21" s="93"/>
      <c r="Q21" s="93"/>
      <c r="S21" s="236"/>
    </row>
    <row r="22" spans="1:20" ht="15.75">
      <c r="A22" s="62" t="s">
        <v>16</v>
      </c>
      <c r="B22" s="147">
        <f>SUM(B3:B20)</f>
        <v>25106</v>
      </c>
      <c r="C22" s="72">
        <f t="shared" ref="C22:Q22" si="2">SUM(C3:C21)</f>
        <v>1093.97</v>
      </c>
      <c r="D22" s="96">
        <f t="shared" si="2"/>
        <v>6751.32</v>
      </c>
      <c r="E22" s="96">
        <f t="shared" si="2"/>
        <v>533.4</v>
      </c>
      <c r="F22" s="96">
        <f t="shared" si="2"/>
        <v>1921.1399999999999</v>
      </c>
      <c r="G22" s="96">
        <f t="shared" si="2"/>
        <v>2177.1999999999998</v>
      </c>
      <c r="H22" s="96">
        <f t="shared" si="2"/>
        <v>533.4</v>
      </c>
      <c r="I22" s="96">
        <f t="shared" si="2"/>
        <v>5642.4000000000005</v>
      </c>
      <c r="J22" s="96">
        <f t="shared" si="2"/>
        <v>686.96</v>
      </c>
      <c r="K22" s="96">
        <f t="shared" si="2"/>
        <v>736.42</v>
      </c>
      <c r="L22" s="96">
        <f t="shared" si="2"/>
        <v>960.61999999999989</v>
      </c>
      <c r="M22" s="96">
        <f t="shared" si="2"/>
        <v>555.55999999999995</v>
      </c>
      <c r="N22" s="96">
        <f t="shared" si="2"/>
        <v>1283.82</v>
      </c>
      <c r="O22" s="96">
        <f t="shared" si="2"/>
        <v>22876.21</v>
      </c>
      <c r="P22" s="96">
        <f t="shared" si="2"/>
        <v>897.18166666666662</v>
      </c>
      <c r="Q22" s="96">
        <f t="shared" si="2"/>
        <v>6161.95</v>
      </c>
      <c r="S22" s="236"/>
      <c r="T22" s="236"/>
    </row>
    <row r="23" spans="1:20" ht="15.75">
      <c r="S23" s="236"/>
    </row>
    <row r="24" spans="1:20" ht="15.75">
      <c r="O24" s="98">
        <f>31665.21-O22</f>
        <v>8789</v>
      </c>
      <c r="S24" s="236"/>
      <c r="T24" s="236"/>
    </row>
    <row r="25" spans="1:20" ht="15.75">
      <c r="N25">
        <f>35764.99-34561.1</f>
        <v>1203.8899999999994</v>
      </c>
      <c r="Q25" s="98"/>
      <c r="S25" s="236"/>
    </row>
    <row r="26" spans="1:20" ht="15.75">
      <c r="C26">
        <f>310.88+295.68+295.68+310.88+295.68+295.68+310.88+517.2</f>
        <v>2632.5600000000004</v>
      </c>
      <c r="E26">
        <f>18*7</f>
        <v>126</v>
      </c>
      <c r="S26" s="236"/>
      <c r="T26" s="236"/>
    </row>
    <row r="27" spans="1:20" ht="15.75">
      <c r="P27" s="98"/>
      <c r="S27" s="236"/>
    </row>
    <row r="28" spans="1:20" ht="15.75">
      <c r="C28">
        <f>6*52*14.84</f>
        <v>4630.08</v>
      </c>
      <c r="F28" s="61"/>
      <c r="S28" s="236"/>
      <c r="T28" s="236"/>
    </row>
    <row r="29" spans="1:20" ht="15.75">
      <c r="C29">
        <f>C28/12</f>
        <v>385.84</v>
      </c>
      <c r="D29">
        <f>C29*7</f>
        <v>2700.8799999999997</v>
      </c>
      <c r="E29" s="61"/>
      <c r="S29" s="236"/>
    </row>
    <row r="30" spans="1:20" ht="15.75">
      <c r="S30" s="236"/>
      <c r="T30" s="236"/>
    </row>
    <row r="31" spans="1:20" ht="15.75">
      <c r="S31" s="236"/>
    </row>
    <row r="32" spans="1:20" ht="15.75">
      <c r="S32" s="236"/>
      <c r="T32" s="236"/>
    </row>
  </sheetData>
  <pageMargins left="0.70866141732283472" right="0.70866141732283472" top="0.74803149606299213" bottom="0.74803149606299213" header="0.31496062992125984" footer="0.31496062992125984"/>
  <pageSetup paperSize="9" scale="62" orientation="landscape" r:id="rId1"/>
</worksheet>
</file>

<file path=xl/worksheets/sheet13.xml><?xml version="1.0" encoding="utf-8"?>
<worksheet xmlns="http://schemas.openxmlformats.org/spreadsheetml/2006/main" xmlns:r="http://schemas.openxmlformats.org/officeDocument/2006/relationships">
  <sheetPr>
    <pageSetUpPr fitToPage="1"/>
  </sheetPr>
  <dimension ref="A1:E24"/>
  <sheetViews>
    <sheetView topLeftCell="A5" workbookViewId="0">
      <selection sqref="A1:E24"/>
    </sheetView>
  </sheetViews>
  <sheetFormatPr defaultRowHeight="15"/>
  <cols>
    <col min="1" max="1" width="38" bestFit="1" customWidth="1"/>
    <col min="2" max="2" width="9.42578125" bestFit="1" customWidth="1"/>
    <col min="3" max="4" width="9.42578125" customWidth="1"/>
    <col min="5" max="5" width="46.7109375" bestFit="1" customWidth="1"/>
  </cols>
  <sheetData>
    <row r="1" spans="1:5">
      <c r="A1" s="62"/>
      <c r="B1" s="63" t="s">
        <v>94</v>
      </c>
      <c r="C1" s="63"/>
      <c r="D1" s="63"/>
      <c r="E1" s="64" t="s">
        <v>58</v>
      </c>
    </row>
    <row r="2" spans="1:5">
      <c r="A2" s="62"/>
      <c r="B2" s="65" t="s">
        <v>59</v>
      </c>
      <c r="C2" s="65" t="s">
        <v>124</v>
      </c>
      <c r="D2" s="65" t="s">
        <v>158</v>
      </c>
      <c r="E2" s="66"/>
    </row>
    <row r="3" spans="1:5">
      <c r="A3" s="94" t="s">
        <v>159</v>
      </c>
      <c r="B3" s="94">
        <v>480</v>
      </c>
      <c r="C3" s="94">
        <v>480</v>
      </c>
      <c r="D3" s="94">
        <v>480</v>
      </c>
      <c r="E3" s="66" t="s">
        <v>96</v>
      </c>
    </row>
    <row r="4" spans="1:5">
      <c r="A4" s="94" t="s">
        <v>160</v>
      </c>
      <c r="B4" s="94">
        <v>120</v>
      </c>
      <c r="C4" s="94">
        <v>120</v>
      </c>
      <c r="D4" s="94">
        <v>120</v>
      </c>
      <c r="E4" s="145" t="s">
        <v>161</v>
      </c>
    </row>
    <row r="5" spans="1:5">
      <c r="A5" s="67" t="s">
        <v>97</v>
      </c>
      <c r="B5" s="94">
        <f>1327/10+1327</f>
        <v>1459.7</v>
      </c>
      <c r="C5" s="94">
        <v>1489.7</v>
      </c>
      <c r="D5" s="94">
        <v>1522</v>
      </c>
      <c r="E5" s="66" t="s">
        <v>98</v>
      </c>
    </row>
    <row r="6" spans="1:5">
      <c r="A6" s="69" t="s">
        <v>60</v>
      </c>
      <c r="B6" s="94">
        <v>180</v>
      </c>
      <c r="C6" s="94">
        <v>180</v>
      </c>
      <c r="D6" s="94">
        <v>180</v>
      </c>
      <c r="E6" s="66" t="s">
        <v>61</v>
      </c>
    </row>
    <row r="7" spans="1:5">
      <c r="A7" s="69" t="s">
        <v>4</v>
      </c>
      <c r="B7" s="94">
        <v>400</v>
      </c>
      <c r="C7" s="94">
        <v>400</v>
      </c>
      <c r="D7" s="94">
        <v>400</v>
      </c>
      <c r="E7" s="66"/>
    </row>
    <row r="8" spans="1:5">
      <c r="A8" s="69" t="s">
        <v>6</v>
      </c>
      <c r="B8" s="94">
        <v>60</v>
      </c>
      <c r="C8" s="94">
        <v>70</v>
      </c>
      <c r="D8" s="142">
        <v>70</v>
      </c>
      <c r="E8" s="66" t="s">
        <v>99</v>
      </c>
    </row>
    <row r="9" spans="1:5" ht="30">
      <c r="A9" s="67" t="s">
        <v>62</v>
      </c>
      <c r="B9" s="94">
        <f>6*52*14.76+11*5.85</f>
        <v>4669.47</v>
      </c>
      <c r="C9" s="94">
        <f>B9+93.39</f>
        <v>4762.8600000000006</v>
      </c>
      <c r="D9" s="2">
        <v>4844.1899999999996</v>
      </c>
      <c r="E9" s="70" t="s">
        <v>125</v>
      </c>
    </row>
    <row r="10" spans="1:5">
      <c r="A10" s="67" t="s">
        <v>7</v>
      </c>
      <c r="B10" s="94">
        <v>500</v>
      </c>
      <c r="C10" s="94">
        <v>600</v>
      </c>
      <c r="D10" s="94">
        <v>600</v>
      </c>
      <c r="E10" s="66" t="s">
        <v>101</v>
      </c>
    </row>
    <row r="11" spans="1:5">
      <c r="A11" s="67" t="s">
        <v>102</v>
      </c>
      <c r="B11" s="95">
        <v>8720</v>
      </c>
      <c r="C11" s="95">
        <v>9000</v>
      </c>
      <c r="D11" s="94">
        <v>9500</v>
      </c>
      <c r="E11" s="66" t="s">
        <v>126</v>
      </c>
    </row>
    <row r="12" spans="1:5">
      <c r="A12" s="67" t="s">
        <v>51</v>
      </c>
      <c r="B12" s="95">
        <v>60</v>
      </c>
      <c r="C12" s="95">
        <v>65</v>
      </c>
      <c r="D12" s="94">
        <v>65</v>
      </c>
      <c r="E12" s="66" t="s">
        <v>101</v>
      </c>
    </row>
    <row r="13" spans="1:5">
      <c r="A13" s="67" t="s">
        <v>104</v>
      </c>
      <c r="B13" s="95">
        <v>10</v>
      </c>
      <c r="C13" s="95">
        <v>10</v>
      </c>
      <c r="D13" s="142">
        <v>10</v>
      </c>
      <c r="E13" s="66"/>
    </row>
    <row r="14" spans="1:5" ht="45">
      <c r="A14" s="67" t="s">
        <v>9</v>
      </c>
      <c r="B14" s="94">
        <v>550</v>
      </c>
      <c r="C14" s="94">
        <v>600</v>
      </c>
      <c r="D14" s="94">
        <v>630</v>
      </c>
      <c r="E14" s="70" t="s">
        <v>105</v>
      </c>
    </row>
    <row r="15" spans="1:5">
      <c r="A15" s="62" t="s">
        <v>106</v>
      </c>
      <c r="B15" s="96">
        <v>3000</v>
      </c>
      <c r="C15" s="96">
        <v>3000</v>
      </c>
      <c r="D15" s="96">
        <v>3000</v>
      </c>
      <c r="E15" s="66" t="s">
        <v>107</v>
      </c>
    </row>
    <row r="16" spans="1:5" ht="60">
      <c r="A16" s="71" t="s">
        <v>108</v>
      </c>
      <c r="B16" s="96">
        <v>1600</v>
      </c>
      <c r="C16" s="96">
        <v>1800</v>
      </c>
      <c r="D16" s="96">
        <v>1500</v>
      </c>
      <c r="E16" s="66"/>
    </row>
    <row r="17" spans="1:5">
      <c r="A17" s="62" t="s">
        <v>128</v>
      </c>
      <c r="B17" s="96">
        <v>100</v>
      </c>
      <c r="C17" s="96">
        <v>2007.44</v>
      </c>
      <c r="D17" s="96">
        <v>3073.81</v>
      </c>
      <c r="E17" s="66"/>
    </row>
    <row r="18" spans="1:5">
      <c r="A18" s="62" t="s">
        <v>111</v>
      </c>
      <c r="B18" s="96">
        <v>125</v>
      </c>
      <c r="C18" s="96">
        <v>125</v>
      </c>
      <c r="D18" s="96">
        <v>125</v>
      </c>
      <c r="E18" s="66" t="s">
        <v>112</v>
      </c>
    </row>
    <row r="19" spans="1:5">
      <c r="A19" s="62" t="s">
        <v>8</v>
      </c>
      <c r="B19" s="96">
        <v>480</v>
      </c>
      <c r="C19" s="96">
        <v>480</v>
      </c>
      <c r="D19" s="96">
        <v>480</v>
      </c>
      <c r="E19" s="66" t="s">
        <v>99</v>
      </c>
    </row>
    <row r="20" spans="1:5">
      <c r="A20" s="62" t="s">
        <v>127</v>
      </c>
      <c r="B20" s="96">
        <v>2000</v>
      </c>
      <c r="C20" s="96">
        <v>1000</v>
      </c>
      <c r="D20" s="96">
        <v>1000</v>
      </c>
      <c r="E20" s="66"/>
    </row>
    <row r="21" spans="1:5">
      <c r="A21" s="62" t="s">
        <v>63</v>
      </c>
      <c r="B21" s="96">
        <v>50</v>
      </c>
      <c r="C21" s="96">
        <v>50</v>
      </c>
      <c r="D21" s="96">
        <v>50</v>
      </c>
      <c r="E21" s="66"/>
    </row>
    <row r="22" spans="1:5">
      <c r="A22" s="62" t="s">
        <v>64</v>
      </c>
      <c r="B22" s="96">
        <v>1000</v>
      </c>
      <c r="C22" s="96">
        <v>100</v>
      </c>
      <c r="D22" s="96">
        <v>50</v>
      </c>
      <c r="E22" s="66"/>
    </row>
    <row r="23" spans="1:5" s="104" customFormat="1">
      <c r="A23" s="146" t="s">
        <v>16</v>
      </c>
      <c r="B23" s="147">
        <f>SUM(B3:B22)</f>
        <v>25564.17</v>
      </c>
      <c r="C23" s="147">
        <f>SUM(C3:C22)</f>
        <v>26340</v>
      </c>
      <c r="D23" s="147">
        <f>SUM(D3:D22)</f>
        <v>27700</v>
      </c>
      <c r="E23" s="148"/>
    </row>
    <row r="24" spans="1:5">
      <c r="A24" s="69"/>
      <c r="B24" s="68"/>
      <c r="C24" s="68"/>
      <c r="D24" s="68"/>
      <c r="E24" s="66"/>
    </row>
  </sheetData>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sheetPr>
    <pageSetUpPr fitToPage="1"/>
  </sheetPr>
  <dimension ref="A1:G58"/>
  <sheetViews>
    <sheetView workbookViewId="0">
      <selection activeCell="B9" sqref="B9"/>
    </sheetView>
  </sheetViews>
  <sheetFormatPr defaultRowHeight="15"/>
  <cols>
    <col min="1" max="1" width="59" bestFit="1" customWidth="1"/>
    <col min="2" max="3" width="12.7109375" bestFit="1" customWidth="1"/>
    <col min="5" max="5" width="10.5703125" bestFit="1" customWidth="1"/>
    <col min="6" max="6" width="9.28515625" bestFit="1" customWidth="1"/>
  </cols>
  <sheetData>
    <row r="1" spans="1:3" ht="18.75">
      <c r="A1" s="278" t="s">
        <v>115</v>
      </c>
      <c r="B1" s="278"/>
      <c r="C1" s="278"/>
    </row>
    <row r="2" spans="1:3" ht="18.75">
      <c r="A2" s="278" t="s">
        <v>84</v>
      </c>
      <c r="B2" s="278"/>
      <c r="C2" s="278"/>
    </row>
    <row r="3" spans="1:3" ht="18.75">
      <c r="A3" s="278" t="s">
        <v>320</v>
      </c>
      <c r="B3" s="278"/>
      <c r="C3" s="278"/>
    </row>
    <row r="4" spans="1:3" ht="15.75">
      <c r="A4" s="75"/>
      <c r="B4" s="74"/>
      <c r="C4" s="74"/>
    </row>
    <row r="5" spans="1:3" ht="18.75">
      <c r="A5" s="76" t="s">
        <v>85</v>
      </c>
      <c r="B5" s="74"/>
      <c r="C5" s="74"/>
    </row>
    <row r="6" spans="1:3" ht="15.75">
      <c r="A6" s="75"/>
      <c r="B6" s="74"/>
      <c r="C6" s="74"/>
    </row>
    <row r="7" spans="1:3" ht="15.75">
      <c r="A7" s="77" t="s">
        <v>86</v>
      </c>
      <c r="B7" s="75"/>
      <c r="C7" s="75"/>
    </row>
    <row r="8" spans="1:3" ht="15.75">
      <c r="A8" s="75" t="s">
        <v>119</v>
      </c>
      <c r="B8" s="150">
        <f>2*12553</f>
        <v>25106</v>
      </c>
      <c r="C8" s="150"/>
    </row>
    <row r="9" spans="1:3" ht="15.75">
      <c r="A9" s="75" t="s">
        <v>136</v>
      </c>
      <c r="B9" s="150">
        <f>1371.15+1906.8</f>
        <v>3277.95</v>
      </c>
      <c r="C9" s="150"/>
    </row>
    <row r="10" spans="1:3" ht="15.75">
      <c r="A10" s="75" t="s">
        <v>166</v>
      </c>
      <c r="B10" s="150">
        <v>2578.04</v>
      </c>
      <c r="C10" s="150"/>
    </row>
    <row r="11" spans="1:3" ht="15.75">
      <c r="A11" s="75" t="s">
        <v>5</v>
      </c>
      <c r="B11" s="150">
        <v>0.42</v>
      </c>
      <c r="C11" s="150"/>
    </row>
    <row r="12" spans="1:3" ht="15.75">
      <c r="A12" s="79"/>
      <c r="B12" s="161">
        <f>SUM(B8:B11)</f>
        <v>30962.41</v>
      </c>
      <c r="C12" s="150"/>
    </row>
    <row r="13" spans="1:3" ht="15.75">
      <c r="A13" s="79"/>
      <c r="B13" s="162"/>
      <c r="C13" s="150"/>
    </row>
    <row r="14" spans="1:3" ht="15.75">
      <c r="A14" s="77" t="s">
        <v>87</v>
      </c>
      <c r="B14" s="150"/>
      <c r="C14" s="150"/>
    </row>
    <row r="15" spans="1:3" ht="15.75">
      <c r="A15" s="75" t="s">
        <v>88</v>
      </c>
      <c r="B15" s="155">
        <f>'Budget over Expenditure 23-24'!C6+'Budget over Expenditure 23-24'!D6+'Budget over Expenditure 23-24'!E6+'Budget over Expenditure 23-24'!F6+'Budget over Expenditure 23-24'!G6+'Budget over Expenditure 23-24'!H6+'Budget over Expenditure 23-24'!I6</f>
        <v>105</v>
      </c>
      <c r="C15" s="150"/>
    </row>
    <row r="16" spans="1:3" ht="15.75">
      <c r="A16" s="75" t="s">
        <v>117</v>
      </c>
      <c r="B16" s="155">
        <f>'Budget over Expenditure 23-24'!C5+'Budget over Expenditure 23-24'!D5+'Budget over Expenditure 23-24'!E5+'Budget over Expenditure 23-24'!F5+'Budget over Expenditure 23-24'!G5+'Budget over Expenditure 23-24'!H5+'Budget over Expenditure 23-24'!I5</f>
        <v>1041.04</v>
      </c>
      <c r="C16" s="150"/>
    </row>
    <row r="17" spans="1:6" ht="15.75">
      <c r="A17" s="75" t="s">
        <v>89</v>
      </c>
      <c r="B17" s="155">
        <f>'Budget over Expenditure 23-24'!C9+'Budget over Expenditure 23-24'!D9+'Budget over Expenditure 23-24'!E9+'Budget over Expenditure 23-24'!F9+'Budget over Expenditure 23-24'!G9+'Budget over Expenditure 23-24'!H9+'Budget over Expenditure 23-24'!I9</f>
        <v>2115.36</v>
      </c>
      <c r="C17" s="150"/>
    </row>
    <row r="18" spans="1:6" ht="15.75">
      <c r="A18" s="75" t="s">
        <v>256</v>
      </c>
      <c r="B18" s="155">
        <v>28.78</v>
      </c>
      <c r="C18" s="150"/>
    </row>
    <row r="19" spans="1:6" ht="15.75">
      <c r="A19" s="75" t="s">
        <v>9</v>
      </c>
      <c r="B19" s="155">
        <v>639.86</v>
      </c>
      <c r="C19" s="150"/>
    </row>
    <row r="20" spans="1:6" ht="15.75">
      <c r="A20" s="75" t="s">
        <v>196</v>
      </c>
      <c r="B20" s="155">
        <f>'Budget over Expenditure 23-24'!D15+'Budget over Expenditure 23-24'!F15+'Budget over Expenditure 23-24'!G15</f>
        <v>3932.16</v>
      </c>
      <c r="C20" s="150"/>
    </row>
    <row r="21" spans="1:6" ht="15.75">
      <c r="A21" s="75" t="s">
        <v>6</v>
      </c>
      <c r="B21" s="155">
        <v>60</v>
      </c>
      <c r="C21" s="150"/>
    </row>
    <row r="22" spans="1:6" ht="15.75">
      <c r="A22" s="75" t="s">
        <v>122</v>
      </c>
      <c r="B22" s="155">
        <f>'Budget over Expenditure 23-24'!I11+4345.2</f>
        <v>9150</v>
      </c>
      <c r="C22" s="150"/>
    </row>
    <row r="23" spans="1:6" ht="15.75">
      <c r="A23" s="82" t="s">
        <v>7</v>
      </c>
      <c r="B23" s="156">
        <v>545.57000000000005</v>
      </c>
      <c r="C23" s="150"/>
    </row>
    <row r="24" spans="1:6" ht="15.75">
      <c r="A24" s="82" t="s">
        <v>205</v>
      </c>
      <c r="B24" s="156">
        <f>'Budget over Expenditure 23-24'!F14</f>
        <v>111.06</v>
      </c>
      <c r="C24" s="150"/>
    </row>
    <row r="25" spans="1:6" ht="15.75">
      <c r="A25" s="82" t="s">
        <v>322</v>
      </c>
      <c r="B25" s="156">
        <f>'Budget over Expenditure 23-24'!I13</f>
        <v>218.85</v>
      </c>
      <c r="C25" s="150"/>
    </row>
    <row r="26" spans="1:6" ht="15.75">
      <c r="A26" s="82" t="s">
        <v>308</v>
      </c>
      <c r="B26" s="156">
        <f>'Budget over Expenditure 23-24'!F13</f>
        <v>117.6</v>
      </c>
      <c r="C26" s="150"/>
    </row>
    <row r="27" spans="1:6" ht="15.75">
      <c r="A27" s="82" t="s">
        <v>191</v>
      </c>
      <c r="B27" s="156">
        <f>'Budget over Expenditure 23-24'!I14</f>
        <v>70.349999999999994</v>
      </c>
      <c r="C27" s="150"/>
    </row>
    <row r="28" spans="1:6" ht="15.75">
      <c r="A28" s="82" t="s">
        <v>4</v>
      </c>
      <c r="B28" s="156">
        <f>'Budget over Expenditure 23-24'!C7+'Budget over Expenditure 23-24'!D7+'Budget over Expenditure 23-24'!E7+'Budget over Expenditure 23-24'!F7+'Budget over Expenditure 23-24'!G7+'Budget over Expenditure 23-24'!H7+'Budget over Expenditure 23-24'!I7</f>
        <v>517.20000000000005</v>
      </c>
      <c r="C28" s="150"/>
      <c r="F28" s="98"/>
    </row>
    <row r="29" spans="1:6" ht="15.75">
      <c r="A29" s="82"/>
      <c r="B29" s="151">
        <f>SUM(B15:B28)</f>
        <v>18652.829999999998</v>
      </c>
      <c r="C29" s="163"/>
      <c r="D29" s="61"/>
    </row>
    <row r="30" spans="1:6">
      <c r="A30" s="84"/>
      <c r="B30" s="163"/>
      <c r="C30" s="163"/>
      <c r="F30" s="98"/>
    </row>
    <row r="31" spans="1:6" ht="15.75">
      <c r="A31" s="77" t="s">
        <v>90</v>
      </c>
      <c r="B31" s="150"/>
      <c r="C31" s="150"/>
      <c r="F31" s="98"/>
    </row>
    <row r="32" spans="1:6" ht="15.75">
      <c r="A32" s="75" t="s">
        <v>258</v>
      </c>
      <c r="B32" s="150">
        <f>23527.07+25.85</f>
        <v>23552.92</v>
      </c>
      <c r="C32" s="162"/>
      <c r="F32" s="98"/>
    </row>
    <row r="33" spans="1:7" ht="15.75">
      <c r="A33" s="75" t="s">
        <v>321</v>
      </c>
      <c r="B33" s="150">
        <f>B12-B29</f>
        <v>12309.580000000002</v>
      </c>
      <c r="C33" s="150"/>
    </row>
    <row r="34" spans="1:7" ht="16.5" thickBot="1">
      <c r="A34" s="77" t="s">
        <v>16</v>
      </c>
      <c r="B34" s="164"/>
      <c r="C34" s="165">
        <f>SUM(B32:B33)</f>
        <v>35862.5</v>
      </c>
    </row>
    <row r="35" spans="1:7" ht="16.5" thickTop="1">
      <c r="A35" s="77"/>
      <c r="B35" s="150"/>
      <c r="C35" s="150"/>
    </row>
    <row r="36" spans="1:7" ht="15.75">
      <c r="A36" s="77" t="s">
        <v>91</v>
      </c>
      <c r="B36" s="150"/>
      <c r="C36" s="150"/>
    </row>
    <row r="37" spans="1:7" ht="15.75">
      <c r="A37" s="77"/>
      <c r="B37" s="150"/>
      <c r="C37" s="150"/>
    </row>
    <row r="38" spans="1:7" ht="15.75">
      <c r="A38" s="75" t="s">
        <v>92</v>
      </c>
      <c r="B38" s="166">
        <f>35836.23+26.27</f>
        <v>35862.5</v>
      </c>
      <c r="C38" s="150"/>
    </row>
    <row r="39" spans="1:7" ht="15.75">
      <c r="A39" s="75"/>
      <c r="B39" s="162"/>
      <c r="C39" s="150"/>
    </row>
    <row r="40" spans="1:7" ht="16.5" thickBot="1">
      <c r="A40" s="90"/>
      <c r="B40" s="167"/>
      <c r="C40" s="168">
        <f>SUM(B38:B39)</f>
        <v>35862.5</v>
      </c>
    </row>
    <row r="41" spans="1:7" ht="15.75">
      <c r="A41" s="75"/>
      <c r="B41" s="150"/>
      <c r="C41" s="150"/>
    </row>
    <row r="42" spans="1:7" ht="15.75">
      <c r="A42" s="77" t="s">
        <v>93</v>
      </c>
      <c r="B42" s="150"/>
      <c r="C42" s="150"/>
    </row>
    <row r="43" spans="1:7" ht="15.75">
      <c r="A43" s="82"/>
      <c r="B43" s="169"/>
      <c r="C43" s="150"/>
    </row>
    <row r="44" spans="1:7" ht="16.5" thickBot="1">
      <c r="A44" s="82"/>
      <c r="B44" s="169"/>
      <c r="C44" s="165">
        <f>C40-SUM(B43:B50)</f>
        <v>35862.5</v>
      </c>
    </row>
    <row r="45" spans="1:7" ht="16.5" thickTop="1">
      <c r="A45" s="82"/>
      <c r="B45" s="169"/>
      <c r="C45" s="170"/>
    </row>
    <row r="46" spans="1:7" ht="15.75">
      <c r="A46" s="82"/>
      <c r="B46" s="169"/>
      <c r="C46" s="162"/>
      <c r="F46" s="61"/>
      <c r="G46" s="98"/>
    </row>
    <row r="47" spans="1:7" s="97" customFormat="1" ht="15.75">
      <c r="A47" s="157"/>
      <c r="B47" s="162"/>
      <c r="C47" s="162"/>
    </row>
    <row r="48" spans="1:7" s="97" customFormat="1" ht="15.75">
      <c r="A48" s="250"/>
      <c r="B48" s="162"/>
      <c r="C48" s="162"/>
    </row>
    <row r="49" spans="1:5" s="97" customFormat="1" ht="15.75">
      <c r="A49" s="82"/>
      <c r="B49" s="169"/>
      <c r="C49" s="162"/>
    </row>
    <row r="50" spans="1:5" s="97" customFormat="1" ht="15.75">
      <c r="A50" s="82"/>
      <c r="B50" s="169"/>
      <c r="C50" s="162"/>
    </row>
    <row r="51" spans="1:5" s="97" customFormat="1" ht="15.75">
      <c r="A51" s="82"/>
      <c r="B51" s="169"/>
      <c r="C51" s="162"/>
    </row>
    <row r="52" spans="1:5" s="97" customFormat="1" ht="15.75">
      <c r="A52" s="82"/>
      <c r="B52" s="169"/>
      <c r="C52" s="162"/>
      <c r="E52" s="192"/>
    </row>
    <row r="53" spans="1:5" s="97" customFormat="1" ht="15.75">
      <c r="A53" s="82"/>
      <c r="B53" s="169"/>
      <c r="C53" s="202"/>
      <c r="E53" s="192"/>
    </row>
    <row r="54" spans="1:5" s="97" customFormat="1" ht="15.75">
      <c r="A54" s="82"/>
      <c r="B54" s="169"/>
      <c r="C54" s="162"/>
    </row>
    <row r="55" spans="1:5" ht="15.75">
      <c r="A55" s="82"/>
      <c r="B55" s="169"/>
      <c r="C55" s="162"/>
    </row>
    <row r="56" spans="1:5" ht="15.75">
      <c r="A56" s="82"/>
      <c r="B56" s="169"/>
      <c r="C56" s="162"/>
    </row>
    <row r="57" spans="1:5" ht="15.75">
      <c r="A57" s="82"/>
      <c r="B57" s="169"/>
      <c r="C57" s="162"/>
    </row>
    <row r="58" spans="1:5" ht="15.75">
      <c r="A58" s="82"/>
      <c r="B58" s="83"/>
      <c r="C58" s="97"/>
    </row>
  </sheetData>
  <mergeCells count="3">
    <mergeCell ref="A2:C2"/>
    <mergeCell ref="A3:C3"/>
    <mergeCell ref="A1:C1"/>
  </mergeCells>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sheetPr>
    <pageSetUpPr fitToPage="1"/>
  </sheetPr>
  <dimension ref="A1:I55"/>
  <sheetViews>
    <sheetView topLeftCell="A25" workbookViewId="0">
      <selection sqref="A1:C1"/>
    </sheetView>
  </sheetViews>
  <sheetFormatPr defaultRowHeight="15"/>
  <cols>
    <col min="1" max="1" width="61.85546875" customWidth="1"/>
    <col min="2" max="3" width="12.7109375" bestFit="1" customWidth="1"/>
    <col min="5" max="5" width="10.5703125" bestFit="1" customWidth="1"/>
    <col min="8" max="8" width="11.5703125" bestFit="1" customWidth="1"/>
    <col min="9" max="9" width="10.5703125" bestFit="1" customWidth="1"/>
  </cols>
  <sheetData>
    <row r="1" spans="1:3" ht="18.75">
      <c r="A1" s="278" t="s">
        <v>115</v>
      </c>
      <c r="B1" s="278"/>
      <c r="C1" s="278"/>
    </row>
    <row r="2" spans="1:3" ht="18.75">
      <c r="A2" s="278" t="s">
        <v>84</v>
      </c>
      <c r="B2" s="278"/>
      <c r="C2" s="278"/>
    </row>
    <row r="3" spans="1:3" ht="18.75">
      <c r="A3" s="278" t="s">
        <v>226</v>
      </c>
      <c r="B3" s="278"/>
      <c r="C3" s="278"/>
    </row>
    <row r="4" spans="1:3" ht="15.75">
      <c r="A4" s="75"/>
      <c r="B4" s="74"/>
      <c r="C4" s="74"/>
    </row>
    <row r="5" spans="1:3" ht="18.75">
      <c r="A5" s="76" t="s">
        <v>85</v>
      </c>
      <c r="B5" s="74"/>
      <c r="C5" s="74"/>
    </row>
    <row r="6" spans="1:3" ht="15.75">
      <c r="A6" s="75"/>
      <c r="B6" s="74"/>
      <c r="C6" s="74"/>
    </row>
    <row r="7" spans="1:3" ht="15.75">
      <c r="A7" s="77" t="s">
        <v>86</v>
      </c>
      <c r="B7" s="75"/>
      <c r="C7" s="75"/>
    </row>
    <row r="8" spans="1:3" ht="15.75">
      <c r="A8" s="75" t="s">
        <v>119</v>
      </c>
      <c r="B8" s="150">
        <f>2*11675</f>
        <v>23350</v>
      </c>
      <c r="C8" s="150"/>
    </row>
    <row r="9" spans="1:3" ht="15.75">
      <c r="A9" s="75" t="s">
        <v>136</v>
      </c>
      <c r="B9" s="150">
        <f>6359.59+552.1+9948</f>
        <v>16859.690000000002</v>
      </c>
      <c r="C9" s="150"/>
    </row>
    <row r="10" spans="1:3" ht="15.75">
      <c r="A10" s="75" t="s">
        <v>203</v>
      </c>
      <c r="B10" s="150">
        <v>1080</v>
      </c>
      <c r="C10" s="150"/>
    </row>
    <row r="11" spans="1:3" ht="15.75">
      <c r="A11" s="75" t="s">
        <v>166</v>
      </c>
      <c r="B11" s="150">
        <v>1567.57</v>
      </c>
      <c r="C11" s="150"/>
    </row>
    <row r="12" spans="1:3" ht="15.75">
      <c r="A12" s="75" t="s">
        <v>5</v>
      </c>
      <c r="B12" s="150">
        <f>1.15+16.66+23.68</f>
        <v>41.489999999999995</v>
      </c>
      <c r="C12" s="150"/>
    </row>
    <row r="13" spans="1:3" ht="15.75">
      <c r="A13" s="79"/>
      <c r="B13" s="161">
        <f>SUM(B8:B12)</f>
        <v>42898.75</v>
      </c>
      <c r="C13" s="150"/>
    </row>
    <row r="14" spans="1:3" ht="15.75">
      <c r="A14" s="79"/>
      <c r="B14" s="162"/>
      <c r="C14" s="150"/>
    </row>
    <row r="15" spans="1:3" ht="15.75">
      <c r="A15" s="77" t="s">
        <v>87</v>
      </c>
      <c r="B15" s="150"/>
      <c r="C15" s="150"/>
    </row>
    <row r="16" spans="1:3" ht="15.75">
      <c r="A16" s="75" t="s">
        <v>117</v>
      </c>
      <c r="B16" s="155">
        <f>'Budget over Expenditure 23-24'!C5+'Budget over Expenditure 23-24'!D5+'Budget over Expenditure 23-24'!E5+'Budget over Expenditure 23-24'!F5+'Budget over Expenditure 23-24'!G5+'Budget over Expenditure 23-24'!H5+'Budget over Expenditure 23-24'!I5+'Budget over Expenditure 23-24'!J5+'Budget over Expenditure 23-24'!K5</f>
        <v>1378.48</v>
      </c>
      <c r="C16" s="150"/>
    </row>
    <row r="17" spans="1:3" ht="15.75">
      <c r="A17" s="75" t="s">
        <v>214</v>
      </c>
      <c r="B17" s="155">
        <f>'Budget over Expenditure 23-24'!C6+'Budget over Expenditure 23-24'!D6+'Budget over Expenditure 23-24'!E6+'Budget over Expenditure 23-24'!F6+'Budget over Expenditure 23-24'!G6+'Budget over Expenditure 23-24'!H6+'Budget over Expenditure 23-24'!I6+'Budget over Expenditure 23-24'!J6+'Budget over Expenditure 23-24'!K6</f>
        <v>162</v>
      </c>
      <c r="C17" s="150"/>
    </row>
    <row r="18" spans="1:3" ht="15.75">
      <c r="A18" s="75" t="s">
        <v>4</v>
      </c>
      <c r="B18" s="155">
        <f>'Budget over Expenditure 23-24'!C7+'Budget over Expenditure 23-24'!D7+'Budget over Expenditure 23-24'!E7+'Budget over Expenditure 23-24'!F7+'Budget over Expenditure 23-24'!G7+'Budget over Expenditure 23-24'!H7+'Budget over Expenditure 23-24'!I7+'Budget over Expenditure 23-24'!J7</f>
        <v>617.20000000000005</v>
      </c>
      <c r="C18" s="150"/>
    </row>
    <row r="19" spans="1:3" ht="15.75">
      <c r="A19" s="75" t="s">
        <v>6</v>
      </c>
      <c r="B19" s="155">
        <f>'Budget over Expenditure 23-24'!C8+'Budget over Expenditure 23-24'!D8+'Budget over Expenditure 23-24'!E8+'Budget over Expenditure 23-24'!F8+'Budget over Expenditure 23-24'!G8+'Budget over Expenditure 23-24'!H8</f>
        <v>60</v>
      </c>
      <c r="C19" s="150"/>
    </row>
    <row r="20" spans="1:3" ht="15.75">
      <c r="A20" s="75" t="s">
        <v>89</v>
      </c>
      <c r="B20" s="155">
        <f>'Budget over Expenditure 23-24'!C9+'Budget over Expenditure 23-24'!D9+'Budget over Expenditure 23-24'!E9+'Budget over Expenditure 23-24'!F9+'Budget over Expenditure 23-24'!G9+'Budget over Expenditure 23-24'!H9+'Budget over Expenditure 23-24'!I9+'Budget over Expenditure 23-24'!J9+'Budget over Expenditure 23-24'!K9</f>
        <v>2823.44</v>
      </c>
      <c r="C20" s="150"/>
    </row>
    <row r="21" spans="1:3" ht="15.75">
      <c r="A21" s="75" t="s">
        <v>205</v>
      </c>
      <c r="B21" s="155">
        <v>111</v>
      </c>
      <c r="C21" s="150"/>
    </row>
    <row r="22" spans="1:3" ht="15.75">
      <c r="A22" s="75" t="s">
        <v>122</v>
      </c>
      <c r="B22" s="155">
        <f>'Budget over Expenditure 23-24'!C11+'Budget over Expenditure 23-24'!D11+'Budget over Expenditure 23-24'!E11+'Budget over Expenditure 23-24'!F11+'Budget over Expenditure 23-24'!G11+'Budget over Expenditure 23-24'!H11</f>
        <v>4345.2</v>
      </c>
      <c r="C22" s="150"/>
    </row>
    <row r="23" spans="1:3" ht="15.75">
      <c r="A23" s="82" t="s">
        <v>208</v>
      </c>
      <c r="B23" s="155">
        <v>662.52</v>
      </c>
      <c r="C23" s="150"/>
    </row>
    <row r="24" spans="1:3" ht="15.75">
      <c r="A24" s="82" t="s">
        <v>135</v>
      </c>
      <c r="B24" s="155">
        <v>1080</v>
      </c>
      <c r="C24" s="150"/>
    </row>
    <row r="25" spans="1:3" ht="15.75">
      <c r="A25" s="82" t="s">
        <v>209</v>
      </c>
      <c r="B25" s="155">
        <f>'Budget over Expenditure 23-24'!G13</f>
        <v>0</v>
      </c>
      <c r="C25" s="150"/>
    </row>
    <row r="26" spans="1:3" ht="15.75">
      <c r="A26" s="82" t="s">
        <v>210</v>
      </c>
      <c r="B26" s="155">
        <v>500</v>
      </c>
      <c r="C26" s="150"/>
    </row>
    <row r="27" spans="1:3" ht="15.75">
      <c r="A27" s="82" t="s">
        <v>9</v>
      </c>
      <c r="B27" s="155">
        <f>'Budget over Expenditure 23-24'!G12</f>
        <v>0</v>
      </c>
      <c r="C27" s="150"/>
    </row>
    <row r="28" spans="1:3" ht="15.75">
      <c r="A28" s="82" t="s">
        <v>211</v>
      </c>
      <c r="B28" s="155">
        <v>1341</v>
      </c>
      <c r="C28" s="150"/>
    </row>
    <row r="29" spans="1:3" ht="15.75">
      <c r="A29" s="82" t="s">
        <v>224</v>
      </c>
      <c r="B29" s="155">
        <v>252</v>
      </c>
      <c r="C29" s="150"/>
    </row>
    <row r="30" spans="1:3" ht="15.75">
      <c r="A30" s="82" t="s">
        <v>227</v>
      </c>
      <c r="B30" s="155">
        <v>34.9</v>
      </c>
      <c r="C30" s="150"/>
    </row>
    <row r="31" spans="1:3" ht="15.75">
      <c r="A31" s="82" t="s">
        <v>228</v>
      </c>
      <c r="B31" s="155">
        <v>72.459999999999994</v>
      </c>
      <c r="C31" s="150"/>
    </row>
    <row r="32" spans="1:3" ht="15.75">
      <c r="A32" s="82" t="s">
        <v>229</v>
      </c>
      <c r="B32" s="155">
        <v>104.7</v>
      </c>
      <c r="C32" s="150"/>
    </row>
    <row r="33" spans="1:9" ht="15.75">
      <c r="A33" s="82" t="s">
        <v>230</v>
      </c>
      <c r="B33" s="155">
        <v>50.45</v>
      </c>
      <c r="C33" s="150"/>
    </row>
    <row r="34" spans="1:9" ht="15.75">
      <c r="A34" s="82" t="s">
        <v>225</v>
      </c>
      <c r="B34" s="155">
        <v>122.28</v>
      </c>
      <c r="C34" s="150"/>
    </row>
    <row r="35" spans="1:9" ht="15.75">
      <c r="A35" s="82" t="s">
        <v>213</v>
      </c>
      <c r="B35" s="155">
        <v>11937.6</v>
      </c>
      <c r="C35" s="150"/>
    </row>
    <row r="36" spans="1:9" ht="15.75">
      <c r="A36" s="82" t="s">
        <v>7</v>
      </c>
      <c r="B36" s="155">
        <f>'Budget over Expenditure 23-24'!C10</f>
        <v>545.57000000000005</v>
      </c>
      <c r="C36" s="150"/>
    </row>
    <row r="37" spans="1:9" ht="15.75">
      <c r="A37" s="82"/>
      <c r="B37" s="151">
        <f>SUM(B16:B36)</f>
        <v>26200.800000000003</v>
      </c>
      <c r="C37" s="163"/>
    </row>
    <row r="38" spans="1:9">
      <c r="A38" s="84"/>
      <c r="B38" s="163"/>
      <c r="C38" s="163"/>
    </row>
    <row r="39" spans="1:9" ht="15.75">
      <c r="A39" s="77" t="s">
        <v>90</v>
      </c>
      <c r="B39" s="150"/>
      <c r="C39" s="150"/>
    </row>
    <row r="40" spans="1:9" ht="15.75">
      <c r="A40" s="75" t="s">
        <v>201</v>
      </c>
      <c r="B40" s="150">
        <f>11691.53+3705.51-38.8-38.6</f>
        <v>15319.640000000001</v>
      </c>
      <c r="C40" s="162"/>
    </row>
    <row r="41" spans="1:9" ht="15.75">
      <c r="A41" s="75" t="s">
        <v>215</v>
      </c>
      <c r="B41" s="150">
        <f>B13-B37</f>
        <v>16697.949999999997</v>
      </c>
      <c r="C41" s="150"/>
    </row>
    <row r="42" spans="1:9" ht="16.5" thickBot="1">
      <c r="A42" s="77" t="s">
        <v>16</v>
      </c>
      <c r="B42" s="164"/>
      <c r="C42" s="165">
        <f>SUM(B40:B41)</f>
        <v>32017.589999999997</v>
      </c>
      <c r="I42" s="61"/>
    </row>
    <row r="43" spans="1:9" ht="16.5" thickTop="1">
      <c r="A43" s="77"/>
      <c r="B43" s="150"/>
      <c r="C43" s="150"/>
    </row>
    <row r="44" spans="1:9" ht="15.75">
      <c r="A44" s="77" t="s">
        <v>91</v>
      </c>
      <c r="B44" s="150"/>
      <c r="C44" s="150"/>
      <c r="H44" s="61"/>
    </row>
    <row r="45" spans="1:9" ht="15.75">
      <c r="A45" s="77"/>
      <c r="B45" s="150"/>
      <c r="C45" s="150"/>
    </row>
    <row r="46" spans="1:9" ht="15.75">
      <c r="A46" s="75" t="s">
        <v>206</v>
      </c>
      <c r="B46" s="166">
        <v>26527.33</v>
      </c>
      <c r="C46" s="150"/>
      <c r="H46" s="61"/>
    </row>
    <row r="47" spans="1:9" ht="15.75">
      <c r="A47" s="75" t="s">
        <v>207</v>
      </c>
      <c r="B47" s="162">
        <v>25.85</v>
      </c>
      <c r="C47" s="150"/>
      <c r="E47" s="61"/>
    </row>
    <row r="48" spans="1:9" ht="16.5" thickBot="1">
      <c r="A48" s="90"/>
      <c r="B48" s="167"/>
      <c r="C48" s="168">
        <f>SUM(B46:B47)</f>
        <v>26553.18</v>
      </c>
      <c r="H48" s="99"/>
    </row>
    <row r="49" spans="1:5" ht="15.75">
      <c r="A49" s="75"/>
      <c r="B49" s="150"/>
      <c r="C49" s="150"/>
    </row>
    <row r="50" spans="1:5" ht="15.75">
      <c r="A50" s="77" t="s">
        <v>93</v>
      </c>
      <c r="B50" s="150"/>
      <c r="C50" s="150"/>
    </row>
    <row r="51" spans="1:5" ht="15.75">
      <c r="A51" s="82"/>
      <c r="B51" s="169"/>
      <c r="C51" s="150"/>
    </row>
    <row r="52" spans="1:5" ht="15.75">
      <c r="A52" s="82"/>
      <c r="B52" s="169"/>
      <c r="C52" s="150"/>
    </row>
    <row r="53" spans="1:5" ht="15.75">
      <c r="A53" s="82"/>
      <c r="B53" s="169"/>
      <c r="C53" s="150"/>
      <c r="E53" s="61"/>
    </row>
    <row r="54" spans="1:5" ht="16.5" thickBot="1">
      <c r="A54" s="82"/>
      <c r="B54" s="169"/>
      <c r="C54" s="165">
        <f>C48-SUM(B51:B56)</f>
        <v>26553.18</v>
      </c>
    </row>
    <row r="55" spans="1:5" ht="15.75" thickTop="1"/>
  </sheetData>
  <mergeCells count="3">
    <mergeCell ref="A2:C2"/>
    <mergeCell ref="A3:C3"/>
    <mergeCell ref="A1:C1"/>
  </mergeCells>
  <pageMargins left="0.70866141732283472" right="0.70866141732283472" top="0.74803149606299213" bottom="0.74803149606299213" header="0.31496062992125984" footer="0.31496062992125984"/>
  <pageSetup paperSize="9" scale="86" orientation="portrait" r:id="rId1"/>
</worksheet>
</file>

<file path=xl/worksheets/sheet16.xml><?xml version="1.0" encoding="utf-8"?>
<worksheet xmlns="http://schemas.openxmlformats.org/spreadsheetml/2006/main" xmlns:r="http://schemas.openxmlformats.org/officeDocument/2006/relationships">
  <sheetPr>
    <pageSetUpPr fitToPage="1"/>
  </sheetPr>
  <dimension ref="A1:O56"/>
  <sheetViews>
    <sheetView workbookViewId="0">
      <selection sqref="A1:C56"/>
    </sheetView>
  </sheetViews>
  <sheetFormatPr defaultRowHeight="15"/>
  <cols>
    <col min="1" max="1" width="71.28515625" bestFit="1" customWidth="1"/>
    <col min="2" max="3" width="12.7109375" bestFit="1" customWidth="1"/>
    <col min="12" max="14" width="11.5703125" bestFit="1" customWidth="1"/>
    <col min="15" max="15" width="10.5703125" bestFit="1" customWidth="1"/>
  </cols>
  <sheetData>
    <row r="1" spans="1:3" ht="18.75">
      <c r="A1" s="278" t="s">
        <v>115</v>
      </c>
      <c r="B1" s="278"/>
      <c r="C1" s="278"/>
    </row>
    <row r="2" spans="1:3" ht="18.75">
      <c r="A2" s="278" t="s">
        <v>84</v>
      </c>
      <c r="B2" s="278"/>
      <c r="C2" s="278"/>
    </row>
    <row r="3" spans="1:3" ht="18.75">
      <c r="A3" s="278" t="s">
        <v>231</v>
      </c>
      <c r="B3" s="278"/>
      <c r="C3" s="278"/>
    </row>
    <row r="4" spans="1:3" ht="15.75">
      <c r="A4" s="75"/>
      <c r="B4" s="74"/>
      <c r="C4" s="74"/>
    </row>
    <row r="5" spans="1:3" ht="18.75">
      <c r="A5" s="76" t="s">
        <v>85</v>
      </c>
      <c r="B5" s="74"/>
      <c r="C5" s="74"/>
    </row>
    <row r="6" spans="1:3" ht="15.75">
      <c r="A6" s="75"/>
      <c r="B6" s="74"/>
      <c r="C6" s="74"/>
    </row>
    <row r="7" spans="1:3" ht="15.75">
      <c r="A7" s="77" t="s">
        <v>86</v>
      </c>
      <c r="B7" s="75"/>
      <c r="C7" s="75"/>
    </row>
    <row r="8" spans="1:3" ht="15.75">
      <c r="A8" s="75" t="s">
        <v>119</v>
      </c>
      <c r="B8" s="150">
        <f>2*11675</f>
        <v>23350</v>
      </c>
      <c r="C8" s="150"/>
    </row>
    <row r="9" spans="1:3" ht="15.75">
      <c r="A9" s="75" t="s">
        <v>136</v>
      </c>
      <c r="B9" s="150">
        <f>6359.59+552.1+9948</f>
        <v>16859.690000000002</v>
      </c>
      <c r="C9" s="150"/>
    </row>
    <row r="10" spans="1:3" ht="15.75">
      <c r="A10" s="75" t="s">
        <v>203</v>
      </c>
      <c r="B10" s="150">
        <v>1080</v>
      </c>
      <c r="C10" s="150"/>
    </row>
    <row r="11" spans="1:3" ht="15.75">
      <c r="A11" s="75" t="s">
        <v>166</v>
      </c>
      <c r="B11" s="150">
        <v>1567.57</v>
      </c>
      <c r="C11" s="150"/>
    </row>
    <row r="12" spans="1:3" ht="15.75">
      <c r="A12" s="75" t="s">
        <v>5</v>
      </c>
      <c r="B12" s="150">
        <f>1.15+16.66+23.68</f>
        <v>41.489999999999995</v>
      </c>
      <c r="C12" s="150"/>
    </row>
    <row r="13" spans="1:3" ht="15.75">
      <c r="A13" s="79"/>
      <c r="B13" s="161">
        <f>SUM(B8:B12)</f>
        <v>42898.75</v>
      </c>
      <c r="C13" s="150"/>
    </row>
    <row r="14" spans="1:3" ht="15.75">
      <c r="A14" s="79"/>
      <c r="B14" s="162"/>
      <c r="C14" s="150"/>
    </row>
    <row r="15" spans="1:3" ht="15.75">
      <c r="A15" s="77" t="s">
        <v>87</v>
      </c>
      <c r="B15" s="150"/>
      <c r="C15" s="150"/>
    </row>
    <row r="16" spans="1:3" ht="15.75">
      <c r="A16" s="75" t="s">
        <v>117</v>
      </c>
      <c r="B16" s="155">
        <f>'Budget over Expenditure 23-24'!C5+'Budget over Expenditure 23-24'!D5+'Budget over Expenditure 23-24'!E5+'Budget over Expenditure 23-24'!F5+'Budget over Expenditure 23-24'!G5+'Budget over Expenditure 23-24'!H5+'Budget over Expenditure 23-24'!I5+'Budget over Expenditure 23-24'!J5+'Budget over Expenditure 23-24'!K5+'Budget over Expenditure 23-24'!L5</f>
        <v>1527.2</v>
      </c>
      <c r="C16" s="150"/>
    </row>
    <row r="17" spans="1:3" ht="15.75">
      <c r="A17" s="75" t="s">
        <v>214</v>
      </c>
      <c r="B17" s="155">
        <f>'Budget over Expenditure 23-24'!C6+'Budget over Expenditure 23-24'!D6+'Budget over Expenditure 23-24'!E6+'Budget over Expenditure 23-24'!F6+'Budget over Expenditure 23-24'!G6+'Budget over Expenditure 23-24'!H6+'Budget over Expenditure 23-24'!I6+'Budget over Expenditure 23-24'!J6+'Budget over Expenditure 23-24'!K6+'Budget over Expenditure 23-24'!L6</f>
        <v>180</v>
      </c>
      <c r="C17" s="150"/>
    </row>
    <row r="18" spans="1:3" ht="15.75">
      <c r="A18" s="75" t="s">
        <v>4</v>
      </c>
      <c r="B18" s="155">
        <f>'Budget over Expenditure 23-24'!C7+'Budget over Expenditure 23-24'!D7+'Budget over Expenditure 23-24'!E7+'Budget over Expenditure 23-24'!F7+'Budget over Expenditure 23-24'!G7+'Budget over Expenditure 23-24'!H7+'Budget over Expenditure 23-24'!I7+'Budget over Expenditure 23-24'!J7+'Budget over Expenditure 23-24'!L7</f>
        <v>694.40000000000009</v>
      </c>
      <c r="C18" s="150"/>
    </row>
    <row r="19" spans="1:3" ht="15.75">
      <c r="A19" s="75" t="s">
        <v>6</v>
      </c>
      <c r="B19" s="155">
        <f>'Budget over Expenditure 23-24'!C8+'Budget over Expenditure 23-24'!D8+'Budget over Expenditure 23-24'!E8+'Budget over Expenditure 23-24'!F8+'Budget over Expenditure 23-24'!G8+'Budget over Expenditure 23-24'!H8</f>
        <v>60</v>
      </c>
      <c r="C19" s="150"/>
    </row>
    <row r="20" spans="1:3" ht="15.75">
      <c r="A20" s="75" t="s">
        <v>89</v>
      </c>
      <c r="B20" s="155">
        <f>'Budget over Expenditure 23-24'!C9+'Budget over Expenditure 23-24'!D9+'Budget over Expenditure 23-24'!E9+'Budget over Expenditure 23-24'!F9+'Budget over Expenditure 23-24'!G9+'Budget over Expenditure 23-24'!H9+'Budget over Expenditure 23-24'!I9+'Budget over Expenditure 23-24'!J9+'Budget over Expenditure 23-24'!K9+'Budget over Expenditure 23-24'!L9</f>
        <v>3129.08</v>
      </c>
      <c r="C20" s="150"/>
    </row>
    <row r="21" spans="1:3" ht="15.75">
      <c r="A21" s="75" t="s">
        <v>205</v>
      </c>
      <c r="B21" s="155">
        <f>111.06+111.06</f>
        <v>222.12</v>
      </c>
      <c r="C21" s="150"/>
    </row>
    <row r="22" spans="1:3" ht="15.75">
      <c r="A22" s="75" t="s">
        <v>122</v>
      </c>
      <c r="B22" s="155">
        <f>'Budget over Expenditure 23-24'!C11+'Budget over Expenditure 23-24'!D11+'Budget over Expenditure 23-24'!E11+'Budget over Expenditure 23-24'!F11+'Budget over Expenditure 23-24'!G11+'Budget over Expenditure 23-24'!H11</f>
        <v>4345.2</v>
      </c>
      <c r="C22" s="150"/>
    </row>
    <row r="23" spans="1:3" ht="15.75">
      <c r="A23" s="82" t="s">
        <v>208</v>
      </c>
      <c r="B23" s="155">
        <v>662.52</v>
      </c>
      <c r="C23" s="150"/>
    </row>
    <row r="24" spans="1:3" ht="15.75">
      <c r="A24" s="82" t="s">
        <v>135</v>
      </c>
      <c r="B24" s="155">
        <v>1080</v>
      </c>
      <c r="C24" s="150"/>
    </row>
    <row r="25" spans="1:3" ht="15.75">
      <c r="A25" s="82" t="s">
        <v>209</v>
      </c>
      <c r="B25" s="155">
        <v>111</v>
      </c>
      <c r="C25" s="150"/>
    </row>
    <row r="26" spans="1:3" ht="15.75">
      <c r="A26" s="82" t="s">
        <v>210</v>
      </c>
      <c r="B26" s="155">
        <v>500</v>
      </c>
      <c r="C26" s="150"/>
    </row>
    <row r="27" spans="1:3" ht="15.75">
      <c r="A27" s="82" t="s">
        <v>9</v>
      </c>
      <c r="B27" s="155">
        <f>'Budget over Expenditure 23-24'!G12</f>
        <v>0</v>
      </c>
      <c r="C27" s="150"/>
    </row>
    <row r="28" spans="1:3" ht="15.75">
      <c r="A28" s="82" t="s">
        <v>211</v>
      </c>
      <c r="B28" s="155">
        <v>1341</v>
      </c>
      <c r="C28" s="150"/>
    </row>
    <row r="29" spans="1:3" ht="15.75">
      <c r="A29" s="82" t="s">
        <v>224</v>
      </c>
      <c r="B29" s="155">
        <v>252</v>
      </c>
      <c r="C29" s="150"/>
    </row>
    <row r="30" spans="1:3" ht="15.75">
      <c r="A30" s="82" t="s">
        <v>227</v>
      </c>
      <c r="B30" s="155">
        <v>34.9</v>
      </c>
      <c r="C30" s="150"/>
    </row>
    <row r="31" spans="1:3" ht="15.75">
      <c r="A31" s="82" t="s">
        <v>228</v>
      </c>
      <c r="B31" s="155">
        <v>72.459999999999994</v>
      </c>
      <c r="C31" s="150"/>
    </row>
    <row r="32" spans="1:3" ht="15.75">
      <c r="A32" s="82" t="s">
        <v>229</v>
      </c>
      <c r="B32" s="155">
        <v>104.7</v>
      </c>
      <c r="C32" s="150"/>
    </row>
    <row r="33" spans="1:15" ht="15.75">
      <c r="A33" s="82" t="s">
        <v>230</v>
      </c>
      <c r="B33" s="155">
        <v>50.45</v>
      </c>
      <c r="C33" s="150"/>
    </row>
    <row r="34" spans="1:15" ht="15.75">
      <c r="A34" s="82" t="s">
        <v>225</v>
      </c>
      <c r="B34" s="155">
        <v>122.28</v>
      </c>
      <c r="C34" s="150"/>
    </row>
    <row r="35" spans="1:15" ht="15.75">
      <c r="A35" s="82" t="s">
        <v>213</v>
      </c>
      <c r="B35" s="155">
        <v>11937.6</v>
      </c>
      <c r="C35" s="150"/>
      <c r="F35" s="102"/>
    </row>
    <row r="36" spans="1:15" ht="15.75">
      <c r="A36" s="82" t="s">
        <v>232</v>
      </c>
      <c r="B36" s="155">
        <v>425</v>
      </c>
      <c r="C36" s="150"/>
      <c r="F36" s="102"/>
    </row>
    <row r="37" spans="1:15" ht="15.75">
      <c r="A37" s="82" t="s">
        <v>7</v>
      </c>
      <c r="B37" s="155">
        <f>'Budget over Expenditure 23-24'!C10</f>
        <v>545.57000000000005</v>
      </c>
      <c r="C37" s="150"/>
    </row>
    <row r="38" spans="1:15" ht="15.75">
      <c r="A38" s="82"/>
      <c r="B38" s="151">
        <f>SUM(B16:B37)</f>
        <v>27397.480000000003</v>
      </c>
      <c r="C38" s="163"/>
    </row>
    <row r="39" spans="1:15">
      <c r="A39" s="84"/>
      <c r="B39" s="163"/>
      <c r="C39" s="163"/>
    </row>
    <row r="40" spans="1:15" ht="15.75">
      <c r="A40" s="77" t="s">
        <v>90</v>
      </c>
      <c r="B40" s="150"/>
      <c r="C40" s="150"/>
    </row>
    <row r="41" spans="1:15" ht="15.75">
      <c r="A41" s="75" t="s">
        <v>201</v>
      </c>
      <c r="B41" s="150">
        <f>11691.53+3705.51-38.8-38.6</f>
        <v>15319.640000000001</v>
      </c>
      <c r="C41" s="162"/>
      <c r="M41" s="61"/>
    </row>
    <row r="42" spans="1:15" ht="15.75">
      <c r="A42" s="75" t="s">
        <v>233</v>
      </c>
      <c r="B42" s="150">
        <f>B13-B38</f>
        <v>15501.269999999997</v>
      </c>
      <c r="C42" s="150"/>
    </row>
    <row r="43" spans="1:15" ht="16.5" thickBot="1">
      <c r="A43" s="77" t="s">
        <v>16</v>
      </c>
      <c r="B43" s="164"/>
      <c r="C43" s="165">
        <f>SUM(B41:B42)</f>
        <v>30820.909999999996</v>
      </c>
      <c r="J43" s="98"/>
      <c r="M43" s="61"/>
    </row>
    <row r="44" spans="1:15" ht="16.5" thickTop="1">
      <c r="A44" s="77"/>
      <c r="B44" s="150"/>
      <c r="C44" s="150"/>
      <c r="I44" s="98"/>
    </row>
    <row r="45" spans="1:15" ht="15.75">
      <c r="A45" s="77" t="s">
        <v>91</v>
      </c>
      <c r="B45" s="150"/>
      <c r="C45" s="150"/>
      <c r="M45" s="61"/>
      <c r="O45" s="61"/>
    </row>
    <row r="46" spans="1:15" ht="15.75">
      <c r="A46" s="77"/>
      <c r="B46" s="150"/>
      <c r="C46" s="150"/>
    </row>
    <row r="47" spans="1:15" ht="15.75">
      <c r="A47" s="75" t="s">
        <v>206</v>
      </c>
      <c r="B47" s="166">
        <v>25383.94</v>
      </c>
      <c r="C47" s="150"/>
    </row>
    <row r="48" spans="1:15" ht="15.75">
      <c r="A48" s="75" t="s">
        <v>207</v>
      </c>
      <c r="B48" s="162">
        <v>25.85</v>
      </c>
      <c r="C48" s="150"/>
      <c r="G48" s="99"/>
      <c r="I48" s="99"/>
      <c r="M48" s="99"/>
    </row>
    <row r="49" spans="1:14" ht="14.25" customHeight="1" thickBot="1">
      <c r="A49" s="90"/>
      <c r="B49" s="167"/>
      <c r="C49" s="168">
        <f>SUM(B47:B48)</f>
        <v>25409.789999999997</v>
      </c>
      <c r="L49" s="61"/>
      <c r="N49" s="61"/>
    </row>
    <row r="50" spans="1:14" ht="14.25" customHeight="1">
      <c r="A50" s="75"/>
      <c r="B50" s="150"/>
      <c r="C50" s="150"/>
      <c r="N50" s="61"/>
    </row>
    <row r="51" spans="1:14" ht="14.25" customHeight="1">
      <c r="A51" s="77" t="s">
        <v>93</v>
      </c>
      <c r="B51" s="150"/>
      <c r="C51" s="150"/>
    </row>
    <row r="52" spans="1:14" ht="15.75">
      <c r="A52" s="82"/>
      <c r="B52" s="169"/>
      <c r="C52" s="150"/>
    </row>
    <row r="53" spans="1:14" ht="15.75">
      <c r="A53" s="82"/>
      <c r="B53" s="169"/>
      <c r="C53" s="150"/>
    </row>
    <row r="54" spans="1:14" ht="15.75">
      <c r="A54" s="82"/>
      <c r="B54" s="169"/>
      <c r="C54" s="150"/>
    </row>
    <row r="55" spans="1:14" ht="16.5" thickBot="1">
      <c r="A55" s="82"/>
      <c r="B55" s="169"/>
      <c r="C55" s="165">
        <f>C49-SUM(B52:B57)</f>
        <v>25409.789999999997</v>
      </c>
    </row>
    <row r="56" spans="1:14" ht="15.75" thickTop="1"/>
  </sheetData>
  <mergeCells count="3">
    <mergeCell ref="A2:C2"/>
    <mergeCell ref="A3:C3"/>
    <mergeCell ref="A1:C1"/>
  </mergeCells>
  <pageMargins left="0.70866141732283472" right="0.70866141732283472" top="0.74803149606299213" bottom="0.74803149606299213" header="0.31496062992125984" footer="0.31496062992125984"/>
  <pageSetup paperSize="9" scale="85" orientation="portrait" r:id="rId1"/>
</worksheet>
</file>

<file path=xl/worksheets/sheet17.xml><?xml version="1.0" encoding="utf-8"?>
<worksheet xmlns="http://schemas.openxmlformats.org/spreadsheetml/2006/main" xmlns:r="http://schemas.openxmlformats.org/officeDocument/2006/relationships">
  <sheetPr>
    <pageSetUpPr fitToPage="1"/>
  </sheetPr>
  <dimension ref="A1:L67"/>
  <sheetViews>
    <sheetView workbookViewId="0">
      <selection activeCell="C57" sqref="A1:C57"/>
    </sheetView>
  </sheetViews>
  <sheetFormatPr defaultRowHeight="15"/>
  <cols>
    <col min="1" max="1" width="59" bestFit="1" customWidth="1"/>
    <col min="2" max="3" width="12.7109375" bestFit="1" customWidth="1"/>
    <col min="7" max="7" width="11.5703125" bestFit="1" customWidth="1"/>
    <col min="9" max="9" width="11.5703125" bestFit="1" customWidth="1"/>
  </cols>
  <sheetData>
    <row r="1" spans="1:3" ht="18.75">
      <c r="A1" s="278" t="s">
        <v>115</v>
      </c>
      <c r="B1" s="278"/>
      <c r="C1" s="278"/>
    </row>
    <row r="2" spans="1:3" ht="18.75">
      <c r="A2" s="278" t="s">
        <v>84</v>
      </c>
      <c r="B2" s="278"/>
      <c r="C2" s="278"/>
    </row>
    <row r="3" spans="1:3" ht="18.75">
      <c r="A3" s="278" t="s">
        <v>235</v>
      </c>
      <c r="B3" s="278"/>
      <c r="C3" s="278"/>
    </row>
    <row r="4" spans="1:3" ht="15.75">
      <c r="A4" s="75"/>
      <c r="B4" s="74"/>
      <c r="C4" s="74"/>
    </row>
    <row r="5" spans="1:3" ht="18.75">
      <c r="A5" s="76" t="s">
        <v>85</v>
      </c>
      <c r="B5" s="74"/>
      <c r="C5" s="74"/>
    </row>
    <row r="6" spans="1:3" ht="15.75">
      <c r="A6" s="75"/>
      <c r="B6" s="74"/>
      <c r="C6" s="74"/>
    </row>
    <row r="7" spans="1:3" ht="15.75">
      <c r="A7" s="77" t="s">
        <v>86</v>
      </c>
      <c r="B7" s="75"/>
      <c r="C7" s="75"/>
    </row>
    <row r="8" spans="1:3" ht="15.75">
      <c r="A8" s="75" t="s">
        <v>119</v>
      </c>
      <c r="B8" s="150">
        <f>2*11675</f>
        <v>23350</v>
      </c>
      <c r="C8" s="150"/>
    </row>
    <row r="9" spans="1:3" ht="15.75">
      <c r="A9" s="75" t="s">
        <v>136</v>
      </c>
      <c r="B9" s="150">
        <f>6359.59+552.1+9948</f>
        <v>16859.690000000002</v>
      </c>
      <c r="C9" s="150"/>
    </row>
    <row r="10" spans="1:3" ht="15.75">
      <c r="A10" s="75" t="s">
        <v>203</v>
      </c>
      <c r="B10" s="150">
        <v>1080</v>
      </c>
      <c r="C10" s="150"/>
    </row>
    <row r="11" spans="1:3" ht="15.75">
      <c r="A11" s="75" t="s">
        <v>166</v>
      </c>
      <c r="B11" s="150">
        <v>1567.57</v>
      </c>
      <c r="C11" s="150"/>
    </row>
    <row r="12" spans="1:3" ht="15.75">
      <c r="A12" s="75" t="s">
        <v>5</v>
      </c>
      <c r="B12" s="150">
        <f>1.15+16.66+23.68</f>
        <v>41.489999999999995</v>
      </c>
      <c r="C12" s="150"/>
    </row>
    <row r="13" spans="1:3" ht="15.75">
      <c r="A13" s="79"/>
      <c r="B13" s="161">
        <f>SUM(B8:B12)</f>
        <v>42898.75</v>
      </c>
      <c r="C13" s="150"/>
    </row>
    <row r="14" spans="1:3" ht="15.75">
      <c r="A14" s="79"/>
      <c r="B14" s="162"/>
      <c r="C14" s="150"/>
    </row>
    <row r="15" spans="1:3" ht="15.75">
      <c r="A15" s="77" t="s">
        <v>87</v>
      </c>
      <c r="B15" s="150"/>
      <c r="C15" s="150"/>
    </row>
    <row r="16" spans="1:3" ht="15.75">
      <c r="A16" s="75" t="s">
        <v>117</v>
      </c>
      <c r="B16" s="155">
        <f>'Budget over Expenditure 23-24'!C5+'Budget over Expenditure 23-24'!D5+'Budget over Expenditure 23-24'!E5+'Budget over Expenditure 23-24'!F5+'Budget over Expenditure 23-24'!G5+'Budget over Expenditure 23-24'!H5+'Budget over Expenditure 23-24'!I5+'Budget over Expenditure 23-24'!J5+'Budget over Expenditure 23-24'!K5+'Budget over Expenditure 23-24'!L5+'Budget over Expenditure 23-24'!M5</f>
        <v>1675.92</v>
      </c>
      <c r="C16" s="150"/>
    </row>
    <row r="17" spans="1:3" ht="15.75">
      <c r="A17" s="75" t="s">
        <v>214</v>
      </c>
      <c r="B17" s="155">
        <f>'Budget over Expenditure 23-24'!C6+'Budget over Expenditure 23-24'!D6+'Budget over Expenditure 23-24'!E6+'Budget over Expenditure 23-24'!F6+'Budget over Expenditure 23-24'!G6+'Budget over Expenditure 23-24'!H6+'Budget over Expenditure 23-24'!I6+'Budget over Expenditure 23-24'!J6+'Budget over Expenditure 23-24'!K6+'Budget over Expenditure 23-24'!L6+'Budget over Expenditure 23-24'!M6</f>
        <v>198</v>
      </c>
      <c r="C17" s="150"/>
    </row>
    <row r="18" spans="1:3" ht="15.75">
      <c r="A18" s="75" t="s">
        <v>4</v>
      </c>
      <c r="B18" s="155">
        <f>'Budget over Expenditure 23-24'!C7+'Budget over Expenditure 23-24'!D7+'Budget over Expenditure 23-24'!E7+'Budget over Expenditure 23-24'!F7+'Budget over Expenditure 23-24'!G7+'Budget over Expenditure 23-24'!H7+'Budget over Expenditure 23-24'!I7+'Budget over Expenditure 23-24'!J7+'Budget over Expenditure 23-24'!L7+'Budget over Expenditure 23-24'!M7</f>
        <v>771.60000000000014</v>
      </c>
      <c r="C18" s="150"/>
    </row>
    <row r="19" spans="1:3" ht="15.75">
      <c r="A19" s="75" t="s">
        <v>6</v>
      </c>
      <c r="B19" s="155">
        <f>'Budget over Expenditure 23-24'!C8+'Budget over Expenditure 23-24'!D8+'Budget over Expenditure 23-24'!E8+'Budget over Expenditure 23-24'!F8+'Budget over Expenditure 23-24'!G8+'Budget over Expenditure 23-24'!H8</f>
        <v>60</v>
      </c>
      <c r="C19" s="150"/>
    </row>
    <row r="20" spans="1:3" ht="15.75">
      <c r="A20" s="75" t="s">
        <v>89</v>
      </c>
      <c r="B20" s="155">
        <f>'Budget over Expenditure 23-24'!C9+'Budget over Expenditure 23-24'!D9+'Budget over Expenditure 23-24'!E9+'Budget over Expenditure 23-24'!F9+'Budget over Expenditure 23-24'!G9+'Budget over Expenditure 23-24'!H9+'Budget over Expenditure 23-24'!I9+'Budget over Expenditure 23-24'!J9+'Budget over Expenditure 23-24'!K9+'Budget over Expenditure 23-24'!L9+'Budget over Expenditure 23-24'!M9</f>
        <v>3440.72</v>
      </c>
      <c r="C20" s="150"/>
    </row>
    <row r="21" spans="1:3" ht="15.75">
      <c r="A21" s="75" t="s">
        <v>205</v>
      </c>
      <c r="B21" s="155">
        <f>111.06+111.06+111.06</f>
        <v>333.18</v>
      </c>
      <c r="C21" s="150"/>
    </row>
    <row r="22" spans="1:3" ht="15.75">
      <c r="A22" s="75" t="s">
        <v>122</v>
      </c>
      <c r="B22" s="155">
        <f>'Budget over Expenditure 23-24'!C11+'Budget over Expenditure 23-24'!D11+'Budget over Expenditure 23-24'!E11+'Budget over Expenditure 23-24'!F11+'Budget over Expenditure 23-24'!G11+'Budget over Expenditure 23-24'!H11</f>
        <v>4345.2</v>
      </c>
      <c r="C22" s="150"/>
    </row>
    <row r="23" spans="1:3" ht="15.75">
      <c r="A23" s="82" t="s">
        <v>208</v>
      </c>
      <c r="B23" s="155">
        <v>662.52</v>
      </c>
      <c r="C23" s="150"/>
    </row>
    <row r="24" spans="1:3" ht="15.75">
      <c r="A24" s="82" t="s">
        <v>135</v>
      </c>
      <c r="B24" s="155">
        <v>1080</v>
      </c>
      <c r="C24" s="150"/>
    </row>
    <row r="25" spans="1:3" ht="15.75">
      <c r="A25" s="82" t="s">
        <v>209</v>
      </c>
      <c r="B25" s="155">
        <v>111</v>
      </c>
      <c r="C25" s="150"/>
    </row>
    <row r="26" spans="1:3" ht="15.75">
      <c r="A26" s="82" t="s">
        <v>210</v>
      </c>
      <c r="B26" s="155">
        <v>500</v>
      </c>
      <c r="C26" s="150"/>
    </row>
    <row r="27" spans="1:3" ht="15.75">
      <c r="A27" s="82" t="s">
        <v>9</v>
      </c>
      <c r="B27" s="155">
        <f>'Budget over Expenditure 23-24'!G12</f>
        <v>0</v>
      </c>
      <c r="C27" s="150"/>
    </row>
    <row r="28" spans="1:3" ht="15.75">
      <c r="A28" s="82" t="s">
        <v>211</v>
      </c>
      <c r="B28" s="155">
        <v>1341</v>
      </c>
      <c r="C28" s="150"/>
    </row>
    <row r="29" spans="1:3" ht="15.75">
      <c r="A29" s="82" t="s">
        <v>224</v>
      </c>
      <c r="B29" s="155">
        <v>252</v>
      </c>
      <c r="C29" s="150"/>
    </row>
    <row r="30" spans="1:3" ht="15.75">
      <c r="A30" s="82" t="s">
        <v>227</v>
      </c>
      <c r="B30" s="155">
        <v>34.9</v>
      </c>
      <c r="C30" s="150"/>
    </row>
    <row r="31" spans="1:3" ht="15.75">
      <c r="A31" s="82" t="s">
        <v>228</v>
      </c>
      <c r="B31" s="155">
        <v>72.459999999999994</v>
      </c>
      <c r="C31" s="150"/>
    </row>
    <row r="32" spans="1:3" ht="15.75">
      <c r="A32" s="82" t="s">
        <v>229</v>
      </c>
      <c r="B32" s="155">
        <v>104.7</v>
      </c>
      <c r="C32" s="150"/>
    </row>
    <row r="33" spans="1:12" ht="15.75">
      <c r="A33" s="82" t="s">
        <v>230</v>
      </c>
      <c r="B33" s="155">
        <v>50.45</v>
      </c>
      <c r="C33" s="150"/>
    </row>
    <row r="34" spans="1:12" ht="15.75">
      <c r="A34" s="82" t="s">
        <v>225</v>
      </c>
      <c r="B34" s="155">
        <v>122.28</v>
      </c>
      <c r="C34" s="150"/>
    </row>
    <row r="35" spans="1:12" ht="15.75">
      <c r="A35" s="82" t="s">
        <v>213</v>
      </c>
      <c r="B35" s="155">
        <f>11937.6+'Budget over Expenditure 23-24'!M14-111.06</f>
        <v>11826.54</v>
      </c>
      <c r="C35" s="150"/>
    </row>
    <row r="36" spans="1:12" ht="15.75">
      <c r="A36" s="82" t="s">
        <v>232</v>
      </c>
      <c r="B36" s="155">
        <v>425</v>
      </c>
      <c r="C36" s="150"/>
    </row>
    <row r="37" spans="1:12" ht="15.75">
      <c r="A37" s="82" t="s">
        <v>234</v>
      </c>
      <c r="B37" s="155">
        <v>120</v>
      </c>
      <c r="C37" s="150"/>
    </row>
    <row r="38" spans="1:12" ht="15.75">
      <c r="A38" s="82" t="s">
        <v>7</v>
      </c>
      <c r="B38" s="155">
        <f>'Budget over Expenditure 23-24'!C10</f>
        <v>545.57000000000005</v>
      </c>
      <c r="C38" s="150"/>
      <c r="G38">
        <f>[1]Sheet3!$E$29</f>
        <v>40323.81</v>
      </c>
    </row>
    <row r="39" spans="1:12" ht="15.75">
      <c r="A39" s="82"/>
      <c r="B39" s="151">
        <f>SUM(B16:B38)</f>
        <v>28073.040000000001</v>
      </c>
      <c r="C39" s="163"/>
    </row>
    <row r="40" spans="1:12">
      <c r="A40" s="84"/>
      <c r="B40" s="163"/>
      <c r="C40" s="163"/>
      <c r="G40" s="61">
        <f>[1]Sheet3!$C$37</f>
        <v>15024.320000000002</v>
      </c>
      <c r="I40" s="61">
        <f>[1]Sheet3!$C$42</f>
        <v>14556.240000000002</v>
      </c>
    </row>
    <row r="41" spans="1:12" ht="15.75">
      <c r="A41" s="77" t="s">
        <v>90</v>
      </c>
      <c r="B41" s="150"/>
      <c r="C41" s="150"/>
      <c r="G41" s="98">
        <f>C49</f>
        <v>0</v>
      </c>
      <c r="I41" s="98">
        <f>C59</f>
        <v>0</v>
      </c>
    </row>
    <row r="42" spans="1:12" ht="15.75">
      <c r="A42" s="75" t="s">
        <v>201</v>
      </c>
      <c r="B42" s="150">
        <f>11691.53+3705.51-38.8-38.6</f>
        <v>15319.640000000001</v>
      </c>
      <c r="C42" s="162"/>
      <c r="G42" s="61">
        <f>SUM(G40:G41)</f>
        <v>15024.320000000002</v>
      </c>
      <c r="I42" s="61">
        <f>SUM(I40:I41)</f>
        <v>14556.240000000002</v>
      </c>
    </row>
    <row r="43" spans="1:12" ht="15.75">
      <c r="A43" s="75" t="s">
        <v>236</v>
      </c>
      <c r="B43" s="150">
        <f>B13-B39</f>
        <v>14825.71</v>
      </c>
      <c r="C43" s="150"/>
    </row>
    <row r="44" spans="1:12" ht="16.5" thickBot="1">
      <c r="A44" s="77" t="s">
        <v>16</v>
      </c>
      <c r="B44" s="164"/>
      <c r="C44" s="165">
        <f>SUM(B42:B43)</f>
        <v>30145.35</v>
      </c>
      <c r="G44" s="61">
        <f>G38-G42</f>
        <v>25299.489999999998</v>
      </c>
      <c r="I44" s="61">
        <f>G38-I42</f>
        <v>25767.569999999996</v>
      </c>
      <c r="J44" s="114" t="e">
        <f>B52+B53+[1]Sheet3!#REF!+[1]Sheet3!#REF!</f>
        <v>#REF!</v>
      </c>
      <c r="L44" s="61" t="e">
        <f>G44-J44</f>
        <v>#REF!</v>
      </c>
    </row>
    <row r="45" spans="1:12" ht="16.5" thickTop="1">
      <c r="A45" s="77"/>
      <c r="B45" s="150"/>
      <c r="C45" s="150"/>
    </row>
    <row r="46" spans="1:12" ht="15.75">
      <c r="A46" s="77" t="s">
        <v>91</v>
      </c>
      <c r="B46" s="150"/>
      <c r="C46" s="150"/>
    </row>
    <row r="47" spans="1:12" ht="15.75">
      <c r="A47" s="77"/>
      <c r="B47" s="150"/>
      <c r="C47" s="150"/>
    </row>
    <row r="48" spans="1:12" ht="15.75">
      <c r="A48" s="75" t="s">
        <v>206</v>
      </c>
      <c r="B48" s="166">
        <v>23226.13</v>
      </c>
      <c r="C48" s="150"/>
    </row>
    <row r="49" spans="1:5" ht="15.75">
      <c r="A49" s="75" t="s">
        <v>207</v>
      </c>
      <c r="B49" s="162">
        <v>25.85</v>
      </c>
      <c r="C49" s="150"/>
    </row>
    <row r="50" spans="1:5" ht="16.5" thickBot="1">
      <c r="A50" s="90"/>
      <c r="B50" s="167"/>
      <c r="C50" s="168">
        <f>SUM(B48:B49)</f>
        <v>23251.98</v>
      </c>
    </row>
    <row r="51" spans="1:5" ht="15.75">
      <c r="A51" s="75"/>
      <c r="B51" s="150"/>
      <c r="C51" s="150"/>
      <c r="E51" s="115"/>
    </row>
    <row r="52" spans="1:5" ht="15.75">
      <c r="A52" s="77" t="s">
        <v>93</v>
      </c>
      <c r="B52" s="150"/>
      <c r="C52" s="150"/>
      <c r="E52" s="116"/>
    </row>
    <row r="53" spans="1:5" ht="15.75">
      <c r="A53" s="82"/>
      <c r="B53" s="169"/>
      <c r="C53" s="150"/>
      <c r="E53" s="116"/>
    </row>
    <row r="54" spans="1:5" ht="15.75">
      <c r="A54" s="82"/>
      <c r="B54" s="169"/>
      <c r="C54" s="150"/>
      <c r="E54" s="116"/>
    </row>
    <row r="55" spans="1:5" ht="15.75">
      <c r="A55" s="82"/>
      <c r="B55" s="169"/>
      <c r="C55" s="150"/>
      <c r="E55" s="116"/>
    </row>
    <row r="56" spans="1:5" ht="16.5" thickBot="1">
      <c r="A56" s="82"/>
      <c r="B56" s="169"/>
      <c r="C56" s="165">
        <f>C50-SUM(B53:B58)</f>
        <v>23251.98</v>
      </c>
      <c r="E56" s="116"/>
    </row>
    <row r="57" spans="1:5" ht="15.75" thickTop="1">
      <c r="E57" s="116"/>
    </row>
    <row r="58" spans="1:5" ht="15.75">
      <c r="A58" s="82"/>
      <c r="B58" s="83"/>
      <c r="C58" s="157"/>
      <c r="E58" s="115"/>
    </row>
    <row r="59" spans="1:5" ht="15.75">
      <c r="A59" s="82"/>
      <c r="B59" s="83"/>
      <c r="C59" s="89"/>
      <c r="E59" s="115"/>
    </row>
    <row r="60" spans="1:5" ht="15.75">
      <c r="A60" s="82"/>
      <c r="B60" s="83"/>
      <c r="C60" s="97"/>
      <c r="E60" s="115"/>
    </row>
    <row r="61" spans="1:5">
      <c r="E61" s="115"/>
    </row>
    <row r="62" spans="1:5">
      <c r="E62" s="116"/>
    </row>
    <row r="63" spans="1:5">
      <c r="E63" s="115"/>
    </row>
    <row r="64" spans="1:5">
      <c r="E64" s="97"/>
    </row>
    <row r="65" spans="5:5">
      <c r="E65" s="97"/>
    </row>
    <row r="66" spans="5:5">
      <c r="E66" s="97"/>
    </row>
    <row r="67" spans="5:5">
      <c r="E67" s="97"/>
    </row>
  </sheetData>
  <mergeCells count="3">
    <mergeCell ref="A2:C2"/>
    <mergeCell ref="A3:C3"/>
    <mergeCell ref="A1:C1"/>
  </mergeCells>
  <pageMargins left="0.70866141732283472" right="0.70866141732283472" top="0.74803149606299213" bottom="0.74803149606299213" header="0.31496062992125984" footer="0.31496062992125984"/>
  <pageSetup paperSize="9" scale="83" orientation="portrait" r:id="rId1"/>
</worksheet>
</file>

<file path=xl/worksheets/sheet18.xml><?xml version="1.0" encoding="utf-8"?>
<worksheet xmlns="http://schemas.openxmlformats.org/spreadsheetml/2006/main" xmlns:r="http://schemas.openxmlformats.org/officeDocument/2006/relationships">
  <sheetPr>
    <pageSetUpPr fitToPage="1"/>
  </sheetPr>
  <dimension ref="A1:I59"/>
  <sheetViews>
    <sheetView workbookViewId="0">
      <selection activeCell="A13" sqref="A13"/>
    </sheetView>
  </sheetViews>
  <sheetFormatPr defaultRowHeight="15"/>
  <cols>
    <col min="1" max="1" width="59" bestFit="1" customWidth="1"/>
    <col min="2" max="3" width="12.7109375" bestFit="1" customWidth="1"/>
    <col min="5" max="5" width="10.5703125" bestFit="1" customWidth="1"/>
  </cols>
  <sheetData>
    <row r="1" spans="1:3" ht="18.75">
      <c r="A1" s="278" t="s">
        <v>115</v>
      </c>
      <c r="B1" s="278"/>
      <c r="C1" s="278"/>
    </row>
    <row r="2" spans="1:3" ht="18.75">
      <c r="A2" s="278" t="s">
        <v>84</v>
      </c>
      <c r="B2" s="278"/>
      <c r="C2" s="278"/>
    </row>
    <row r="3" spans="1:3" ht="18.75">
      <c r="A3" s="278" t="s">
        <v>243</v>
      </c>
      <c r="B3" s="278"/>
      <c r="C3" s="278"/>
    </row>
    <row r="4" spans="1:3" ht="15.75">
      <c r="A4" s="75"/>
      <c r="B4" s="74"/>
      <c r="C4" s="74"/>
    </row>
    <row r="5" spans="1:3" ht="18.75">
      <c r="A5" s="76" t="s">
        <v>85</v>
      </c>
      <c r="B5" s="74"/>
      <c r="C5" s="74"/>
    </row>
    <row r="6" spans="1:3" ht="15.75">
      <c r="A6" s="75"/>
      <c r="B6" s="74"/>
      <c r="C6" s="74"/>
    </row>
    <row r="7" spans="1:3" ht="15.75">
      <c r="A7" s="77" t="s">
        <v>86</v>
      </c>
      <c r="B7" s="75"/>
      <c r="C7" s="75"/>
    </row>
    <row r="8" spans="1:3" ht="15.75">
      <c r="A8" s="75" t="s">
        <v>119</v>
      </c>
      <c r="B8" s="150">
        <f>2*11675</f>
        <v>23350</v>
      </c>
      <c r="C8" s="150"/>
    </row>
    <row r="9" spans="1:3" ht="15.75">
      <c r="A9" s="75" t="s">
        <v>136</v>
      </c>
      <c r="B9" s="150">
        <f>6359.59+552.1+9948+1099.52</f>
        <v>17959.210000000003</v>
      </c>
      <c r="C9" s="150"/>
    </row>
    <row r="10" spans="1:3" ht="15.75">
      <c r="A10" s="75" t="s">
        <v>203</v>
      </c>
      <c r="B10" s="150">
        <v>1080</v>
      </c>
      <c r="C10" s="150"/>
    </row>
    <row r="11" spans="1:3" ht="15.75">
      <c r="A11" s="75" t="s">
        <v>166</v>
      </c>
      <c r="B11" s="150">
        <v>1567.57</v>
      </c>
      <c r="C11" s="150"/>
    </row>
    <row r="12" spans="1:3" ht="15.75">
      <c r="A12" s="75" t="s">
        <v>241</v>
      </c>
      <c r="B12" s="150">
        <v>1.1499999999999999</v>
      </c>
      <c r="C12" s="150"/>
    </row>
    <row r="13" spans="1:3" ht="15.75">
      <c r="A13" s="75" t="s">
        <v>5</v>
      </c>
      <c r="B13" s="150">
        <f>41.49-1.15</f>
        <v>40.340000000000003</v>
      </c>
      <c r="C13" s="150"/>
    </row>
    <row r="14" spans="1:3" ht="15.75">
      <c r="A14" s="79"/>
      <c r="B14" s="161">
        <f>SUM(B8:B13)</f>
        <v>43998.270000000004</v>
      </c>
      <c r="C14" s="150"/>
    </row>
    <row r="15" spans="1:3" ht="15.75">
      <c r="A15" s="79"/>
      <c r="B15" s="162"/>
      <c r="C15" s="150"/>
    </row>
    <row r="16" spans="1:3" ht="15.75">
      <c r="A16" s="77" t="s">
        <v>87</v>
      </c>
      <c r="B16" s="150"/>
      <c r="C16" s="150"/>
    </row>
    <row r="17" spans="1:3" ht="15.75">
      <c r="A17" s="75" t="s">
        <v>117</v>
      </c>
      <c r="B17" s="155">
        <f>'Budget over Expenditure 23-24'!C5+'Budget over Expenditure 23-24'!D5+'Budget over Expenditure 23-24'!E5+'Budget over Expenditure 23-24'!F5+'Budget over Expenditure 23-24'!G5+'Budget over Expenditure 23-24'!H5+'Budget over Expenditure 23-24'!I5+'Budget over Expenditure 23-24'!J5+'Budget over Expenditure 23-24'!K5+'Budget over Expenditure 23-24'!L5+'Budget over Expenditure 23-24'!M5+136.5</f>
        <v>1812.42</v>
      </c>
      <c r="C17" s="150"/>
    </row>
    <row r="18" spans="1:3" ht="15.75">
      <c r="A18" s="75" t="s">
        <v>214</v>
      </c>
      <c r="B18" s="155">
        <f>'Budget over Expenditure 23-24'!C6+'Budget over Expenditure 23-24'!D6+'Budget over Expenditure 23-24'!E6+'Budget over Expenditure 23-24'!F6+'Budget over Expenditure 23-24'!G6+'Budget over Expenditure 23-24'!H6+'Budget over Expenditure 23-24'!I6+'Budget over Expenditure 23-24'!J6+'Budget over Expenditure 23-24'!K6+'Budget over Expenditure 23-24'!L6+'Budget over Expenditure 23-24'!M6</f>
        <v>198</v>
      </c>
      <c r="C18" s="150"/>
    </row>
    <row r="19" spans="1:3" ht="15.75">
      <c r="A19" s="75" t="s">
        <v>4</v>
      </c>
      <c r="B19" s="155">
        <f>'Budget over Expenditure 23-24'!C7+'Budget over Expenditure 23-24'!D7+'Budget over Expenditure 23-24'!E7+'Budget over Expenditure 23-24'!F7+'Budget over Expenditure 23-24'!G7+'Budget over Expenditure 23-24'!H7+'Budget over Expenditure 23-24'!I7+'Budget over Expenditure 23-24'!J7+'Budget over Expenditure 23-24'!L7+'Budget over Expenditure 23-24'!M7+90.4</f>
        <v>862.00000000000011</v>
      </c>
      <c r="C19" s="150"/>
    </row>
    <row r="20" spans="1:3" ht="15.75">
      <c r="A20" s="75" t="s">
        <v>6</v>
      </c>
      <c r="B20" s="155">
        <f>'Budget over Expenditure 23-24'!C8+'Budget over Expenditure 23-24'!D8+'Budget over Expenditure 23-24'!E8+'Budget over Expenditure 23-24'!F8+'Budget over Expenditure 23-24'!G8+'Budget over Expenditure 23-24'!H8</f>
        <v>60</v>
      </c>
      <c r="C20" s="150"/>
    </row>
    <row r="21" spans="1:3" ht="15.75">
      <c r="A21" s="75" t="s">
        <v>89</v>
      </c>
      <c r="B21" s="155">
        <f>'Budget over Expenditure 23-24'!C9+'Budget over Expenditure 23-24'!D9+'Budget over Expenditure 23-24'!E9+'Budget over Expenditure 23-24'!F9+'Budget over Expenditure 23-24'!G9+'Budget over Expenditure 23-24'!H9+'Budget over Expenditure 23-24'!I9+'Budget over Expenditure 23-24'!J9+'Budget over Expenditure 23-24'!K9+'Budget over Expenditure 23-24'!L9+'Budget over Expenditure 23-24'!M9+362.43</f>
        <v>3803.1499999999996</v>
      </c>
      <c r="C21" s="150"/>
    </row>
    <row r="22" spans="1:3" ht="15.75">
      <c r="A22" s="75" t="s">
        <v>205</v>
      </c>
      <c r="B22" s="155">
        <f>111.06+111.06+111.06</f>
        <v>333.18</v>
      </c>
      <c r="C22" s="150"/>
    </row>
    <row r="23" spans="1:3" ht="15.75">
      <c r="A23" s="75" t="s">
        <v>122</v>
      </c>
      <c r="B23" s="155">
        <f>'Budget over Expenditure 23-24'!C11+'Budget over Expenditure 23-24'!D11+'Budget over Expenditure 23-24'!E11+'Budget over Expenditure 23-24'!F11+'Budget over Expenditure 23-24'!G11+'Budget over Expenditure 23-24'!H11</f>
        <v>4345.2</v>
      </c>
      <c r="C23" s="150"/>
    </row>
    <row r="24" spans="1:3" ht="15.75">
      <c r="A24" s="82" t="s">
        <v>208</v>
      </c>
      <c r="B24" s="155">
        <v>662.52</v>
      </c>
      <c r="C24" s="150"/>
    </row>
    <row r="25" spans="1:3" ht="15.75">
      <c r="A25" s="82" t="s">
        <v>135</v>
      </c>
      <c r="B25" s="155">
        <v>1080</v>
      </c>
      <c r="C25" s="150"/>
    </row>
    <row r="26" spans="1:3" ht="15.75">
      <c r="A26" s="82" t="s">
        <v>209</v>
      </c>
      <c r="B26" s="155">
        <v>111</v>
      </c>
      <c r="C26" s="150"/>
    </row>
    <row r="27" spans="1:3" ht="15.75">
      <c r="A27" s="82" t="s">
        <v>210</v>
      </c>
      <c r="B27" s="155">
        <v>500</v>
      </c>
      <c r="C27" s="150"/>
    </row>
    <row r="28" spans="1:3" ht="15.75">
      <c r="A28" s="82" t="s">
        <v>9</v>
      </c>
      <c r="B28" s="155">
        <f>'Budget over Expenditure 23-24'!G12</f>
        <v>0</v>
      </c>
      <c r="C28" s="150"/>
    </row>
    <row r="29" spans="1:3" ht="15.75">
      <c r="A29" s="82" t="s">
        <v>211</v>
      </c>
      <c r="B29" s="155">
        <v>1341</v>
      </c>
      <c r="C29" s="150"/>
    </row>
    <row r="30" spans="1:3" ht="15.75">
      <c r="A30" s="82" t="s">
        <v>224</v>
      </c>
      <c r="B30" s="155">
        <v>252</v>
      </c>
      <c r="C30" s="150"/>
    </row>
    <row r="31" spans="1:3" ht="15.75">
      <c r="A31" s="82" t="s">
        <v>227</v>
      </c>
      <c r="B31" s="155">
        <v>34.9</v>
      </c>
      <c r="C31" s="150"/>
    </row>
    <row r="32" spans="1:3" ht="15.75">
      <c r="A32" s="82" t="s">
        <v>228</v>
      </c>
      <c r="B32" s="155">
        <f>74.25+72.46</f>
        <v>146.70999999999998</v>
      </c>
      <c r="C32" s="150"/>
    </row>
    <row r="33" spans="1:9" ht="15.75">
      <c r="A33" s="82" t="s">
        <v>229</v>
      </c>
      <c r="B33" s="155">
        <v>104.7</v>
      </c>
      <c r="C33" s="150"/>
    </row>
    <row r="34" spans="1:9" ht="15.75">
      <c r="A34" s="82" t="s">
        <v>230</v>
      </c>
      <c r="B34" s="155">
        <v>50.45</v>
      </c>
      <c r="C34" s="150"/>
    </row>
    <row r="35" spans="1:9" ht="15.75">
      <c r="A35" s="82" t="s">
        <v>225</v>
      </c>
      <c r="B35" s="155">
        <v>122.28</v>
      </c>
      <c r="C35" s="150"/>
    </row>
    <row r="36" spans="1:9" ht="15.75">
      <c r="A36" s="82" t="s">
        <v>213</v>
      </c>
      <c r="B36" s="155">
        <f>11937.6+'Budget over Expenditure 23-24'!M14-111.06-135</f>
        <v>11691.54</v>
      </c>
      <c r="C36" s="150"/>
    </row>
    <row r="37" spans="1:9" ht="15.75">
      <c r="A37" s="82" t="s">
        <v>232</v>
      </c>
      <c r="B37" s="155">
        <v>425</v>
      </c>
      <c r="C37" s="150"/>
    </row>
    <row r="38" spans="1:9" ht="15.75">
      <c r="A38" s="82" t="s">
        <v>234</v>
      </c>
      <c r="B38" s="155">
        <v>120</v>
      </c>
      <c r="C38" s="150"/>
    </row>
    <row r="39" spans="1:9" ht="15.75">
      <c r="A39" s="82" t="s">
        <v>244</v>
      </c>
      <c r="B39" s="155">
        <v>135</v>
      </c>
      <c r="C39" s="150"/>
    </row>
    <row r="40" spans="1:9" ht="15.75">
      <c r="A40" s="82" t="s">
        <v>7</v>
      </c>
      <c r="B40" s="155">
        <f>'Budget over Expenditure 23-24'!C10</f>
        <v>545.57000000000005</v>
      </c>
      <c r="C40" s="150"/>
    </row>
    <row r="41" spans="1:9" ht="15.75">
      <c r="A41" s="82"/>
      <c r="B41" s="151">
        <f>SUM(B17:B40)</f>
        <v>28736.620000000003</v>
      </c>
      <c r="C41" s="163"/>
      <c r="I41" s="104"/>
    </row>
    <row r="42" spans="1:9">
      <c r="A42" s="84"/>
      <c r="B42" s="163"/>
      <c r="C42" s="163"/>
    </row>
    <row r="43" spans="1:9" ht="15.75">
      <c r="A43" s="77" t="s">
        <v>90</v>
      </c>
      <c r="B43" s="150"/>
      <c r="C43" s="150"/>
    </row>
    <row r="44" spans="1:9" ht="15.75">
      <c r="A44" s="75" t="s">
        <v>201</v>
      </c>
      <c r="B44" s="150">
        <f>11691.53+3705.51-38.8-38.6</f>
        <v>15319.640000000001</v>
      </c>
      <c r="C44" s="162"/>
    </row>
    <row r="45" spans="1:9" ht="15.75">
      <c r="A45" s="75" t="s">
        <v>236</v>
      </c>
      <c r="B45" s="150">
        <f>B14-B41</f>
        <v>15261.650000000001</v>
      </c>
      <c r="C45" s="150"/>
    </row>
    <row r="46" spans="1:9" ht="16.5" thickBot="1">
      <c r="A46" s="77" t="s">
        <v>16</v>
      </c>
      <c r="B46" s="164"/>
      <c r="C46" s="165">
        <f>SUM(B44:B45)</f>
        <v>30581.29</v>
      </c>
    </row>
    <row r="47" spans="1:9" ht="16.5" thickTop="1">
      <c r="A47" s="77"/>
      <c r="B47" s="150"/>
      <c r="C47" s="150"/>
    </row>
    <row r="48" spans="1:9" ht="15.75">
      <c r="A48" s="77" t="s">
        <v>91</v>
      </c>
      <c r="B48" s="150"/>
      <c r="C48" s="150"/>
    </row>
    <row r="49" spans="1:5" ht="15.75">
      <c r="A49" s="77"/>
      <c r="B49" s="150"/>
      <c r="C49" s="150"/>
    </row>
    <row r="50" spans="1:5" ht="15.75">
      <c r="A50" s="75" t="s">
        <v>206</v>
      </c>
      <c r="B50" s="166">
        <v>23527.07</v>
      </c>
      <c r="C50" s="150"/>
    </row>
    <row r="51" spans="1:5" ht="15.75">
      <c r="A51" s="75" t="s">
        <v>207</v>
      </c>
      <c r="B51" s="162">
        <v>25.85</v>
      </c>
      <c r="C51" s="150"/>
      <c r="E51" s="61"/>
    </row>
    <row r="52" spans="1:5" ht="16.5" thickBot="1">
      <c r="A52" s="90"/>
      <c r="B52" s="167"/>
      <c r="C52" s="168">
        <f>SUM(B50:B51)</f>
        <v>23552.92</v>
      </c>
    </row>
    <row r="53" spans="1:5" ht="15.75">
      <c r="A53" s="75"/>
      <c r="B53" s="150"/>
      <c r="C53" s="150"/>
    </row>
    <row r="54" spans="1:5" ht="15.75">
      <c r="A54" s="77" t="s">
        <v>93</v>
      </c>
      <c r="B54" s="150"/>
      <c r="C54" s="150"/>
    </row>
    <row r="55" spans="1:5" ht="15.75">
      <c r="A55" s="82"/>
      <c r="B55" s="169"/>
      <c r="C55" s="150"/>
    </row>
    <row r="56" spans="1:5" ht="15.75">
      <c r="A56" s="82"/>
      <c r="B56" s="169"/>
      <c r="C56" s="150"/>
    </row>
    <row r="57" spans="1:5" ht="15.75">
      <c r="A57" s="82"/>
      <c r="B57" s="169"/>
      <c r="C57" s="150"/>
    </row>
    <row r="58" spans="1:5" ht="16.5" thickBot="1">
      <c r="A58" s="82"/>
      <c r="B58" s="169"/>
      <c r="C58" s="165">
        <f>C52-SUM(B55:B60)</f>
        <v>23552.92</v>
      </c>
    </row>
    <row r="59" spans="1:5" ht="15.75" thickTop="1"/>
  </sheetData>
  <mergeCells count="3">
    <mergeCell ref="A2:C2"/>
    <mergeCell ref="A3:C3"/>
    <mergeCell ref="A1:C1"/>
  </mergeCells>
  <pageMargins left="0.70866141732283472" right="0.70866141732283472" top="0.74803149606299213" bottom="0.74803149606299213" header="0.31496062992125984" footer="0.31496062992125984"/>
  <pageSetup paperSize="9" scale="89" orientation="portrait" r:id="rId1"/>
</worksheet>
</file>

<file path=xl/worksheets/sheet19.xml><?xml version="1.0" encoding="utf-8"?>
<worksheet xmlns="http://schemas.openxmlformats.org/spreadsheetml/2006/main" xmlns:r="http://schemas.openxmlformats.org/officeDocument/2006/relationships">
  <dimension ref="A2:P78"/>
  <sheetViews>
    <sheetView workbookViewId="0">
      <selection activeCell="F1" sqref="F1"/>
    </sheetView>
  </sheetViews>
  <sheetFormatPr defaultRowHeight="15"/>
  <cols>
    <col min="10" max="10" width="11.5703125" bestFit="1" customWidth="1"/>
    <col min="12" max="12" width="11.5703125" bestFit="1" customWidth="1"/>
    <col min="14" max="14" width="10.5703125" bestFit="1" customWidth="1"/>
  </cols>
  <sheetData>
    <row r="2" spans="1:9">
      <c r="A2">
        <v>502079</v>
      </c>
      <c r="B2" s="106">
        <v>110.4</v>
      </c>
      <c r="D2" t="s">
        <v>139</v>
      </c>
      <c r="E2">
        <v>502072</v>
      </c>
      <c r="F2">
        <v>105.2</v>
      </c>
    </row>
    <row r="3" spans="1:9">
      <c r="A3">
        <v>502080</v>
      </c>
      <c r="B3" s="106">
        <v>527.05999999999995</v>
      </c>
      <c r="D3" t="s">
        <v>139</v>
      </c>
      <c r="E3">
        <v>502077</v>
      </c>
      <c r="F3">
        <v>76.8</v>
      </c>
    </row>
    <row r="4" spans="1:9">
      <c r="A4">
        <v>502081</v>
      </c>
      <c r="B4" s="106">
        <v>123.64</v>
      </c>
      <c r="D4" t="s">
        <v>139</v>
      </c>
      <c r="E4">
        <v>502075</v>
      </c>
      <c r="F4">
        <v>118.31</v>
      </c>
    </row>
    <row r="5" spans="1:9">
      <c r="A5">
        <v>502082</v>
      </c>
      <c r="B5" s="106">
        <v>333.46</v>
      </c>
      <c r="D5" t="s">
        <v>139</v>
      </c>
      <c r="E5">
        <v>502070</v>
      </c>
      <c r="F5">
        <v>113.71</v>
      </c>
    </row>
    <row r="6" spans="1:9">
      <c r="A6">
        <v>502083</v>
      </c>
      <c r="B6" s="106">
        <v>508.78</v>
      </c>
      <c r="D6" t="s">
        <v>140</v>
      </c>
      <c r="E6">
        <v>502074</v>
      </c>
      <c r="F6">
        <v>338.4</v>
      </c>
    </row>
    <row r="7" spans="1:9">
      <c r="A7">
        <v>502084</v>
      </c>
      <c r="B7" s="106">
        <v>60</v>
      </c>
      <c r="D7" t="s">
        <v>140</v>
      </c>
      <c r="E7">
        <v>502047</v>
      </c>
      <c r="F7">
        <v>113.71</v>
      </c>
      <c r="I7">
        <f>565.83+105.2</f>
        <v>671.03000000000009</v>
      </c>
    </row>
    <row r="8" spans="1:9">
      <c r="A8">
        <v>502085</v>
      </c>
      <c r="B8" s="106">
        <v>554.78</v>
      </c>
      <c r="D8" t="s">
        <v>140</v>
      </c>
    </row>
    <row r="9" spans="1:9">
      <c r="A9">
        <v>502086</v>
      </c>
      <c r="B9" s="106">
        <v>384.06</v>
      </c>
      <c r="D9" t="s">
        <v>140</v>
      </c>
    </row>
    <row r="10" spans="1:9">
      <c r="A10">
        <v>502087</v>
      </c>
      <c r="B10" s="106">
        <v>124.14</v>
      </c>
      <c r="D10" t="s">
        <v>140</v>
      </c>
    </row>
    <row r="11" spans="1:9">
      <c r="A11">
        <v>502088</v>
      </c>
      <c r="B11" s="106">
        <v>400</v>
      </c>
      <c r="D11" t="s">
        <v>140</v>
      </c>
    </row>
    <row r="12" spans="1:9">
      <c r="A12">
        <v>502089</v>
      </c>
      <c r="B12" s="106">
        <v>338.4</v>
      </c>
      <c r="D12" t="s">
        <v>139</v>
      </c>
    </row>
    <row r="13" spans="1:9">
      <c r="A13">
        <v>502090</v>
      </c>
      <c r="B13" s="106">
        <v>60</v>
      </c>
      <c r="D13" t="s">
        <v>139</v>
      </c>
    </row>
    <row r="14" spans="1:9">
      <c r="A14">
        <v>502091</v>
      </c>
      <c r="B14" s="106">
        <v>123.64</v>
      </c>
      <c r="D14" t="s">
        <v>139</v>
      </c>
    </row>
    <row r="15" spans="1:9">
      <c r="A15">
        <v>502092</v>
      </c>
      <c r="B15" s="106">
        <v>333.46</v>
      </c>
      <c r="D15" t="s">
        <v>139</v>
      </c>
    </row>
    <row r="16" spans="1:9">
      <c r="A16">
        <v>502093</v>
      </c>
      <c r="B16" s="106">
        <v>110.4</v>
      </c>
      <c r="D16" t="s">
        <v>139</v>
      </c>
    </row>
    <row r="17" spans="1:14">
      <c r="A17">
        <v>502094</v>
      </c>
      <c r="B17" s="106">
        <v>124.14</v>
      </c>
      <c r="D17" t="s">
        <v>140</v>
      </c>
    </row>
    <row r="18" spans="1:14">
      <c r="A18">
        <v>502095</v>
      </c>
      <c r="B18" s="106">
        <v>383.86</v>
      </c>
      <c r="D18" t="s">
        <v>140</v>
      </c>
    </row>
    <row r="19" spans="1:14">
      <c r="A19">
        <v>502096</v>
      </c>
      <c r="B19" s="106">
        <v>58.2</v>
      </c>
      <c r="D19" t="s">
        <v>140</v>
      </c>
    </row>
    <row r="20" spans="1:14">
      <c r="A20">
        <v>502097</v>
      </c>
      <c r="B20" s="106">
        <v>103.14</v>
      </c>
      <c r="D20" t="s">
        <v>140</v>
      </c>
    </row>
    <row r="21" spans="1:14">
      <c r="A21">
        <v>502098</v>
      </c>
      <c r="B21" s="106">
        <v>2500</v>
      </c>
      <c r="D21" t="s">
        <v>140</v>
      </c>
    </row>
    <row r="22" spans="1:14">
      <c r="A22">
        <v>502099</v>
      </c>
      <c r="B22" s="106">
        <v>21.99</v>
      </c>
      <c r="D22" t="s">
        <v>140</v>
      </c>
    </row>
    <row r="23" spans="1:14">
      <c r="A23">
        <v>502101</v>
      </c>
      <c r="B23" s="106">
        <v>124.14</v>
      </c>
      <c r="D23" t="s">
        <v>140</v>
      </c>
    </row>
    <row r="24" spans="1:14">
      <c r="A24">
        <v>502102</v>
      </c>
      <c r="B24" s="106">
        <v>5000</v>
      </c>
      <c r="D24" t="s">
        <v>140</v>
      </c>
    </row>
    <row r="25" spans="1:14">
      <c r="A25">
        <v>502103</v>
      </c>
      <c r="B25" s="106">
        <v>29</v>
      </c>
      <c r="D25" t="s">
        <v>140</v>
      </c>
    </row>
    <row r="26" spans="1:14">
      <c r="A26">
        <v>502104</v>
      </c>
      <c r="B26" s="106">
        <v>384.06</v>
      </c>
      <c r="D26" t="s">
        <v>140</v>
      </c>
    </row>
    <row r="27" spans="1:14">
      <c r="A27">
        <v>502105</v>
      </c>
      <c r="B27" s="106">
        <v>123.44</v>
      </c>
      <c r="D27" t="s">
        <v>139</v>
      </c>
    </row>
    <row r="28" spans="1:14">
      <c r="A28">
        <v>502106</v>
      </c>
      <c r="B28" s="106">
        <v>110.6</v>
      </c>
      <c r="D28" t="s">
        <v>139</v>
      </c>
    </row>
    <row r="29" spans="1:14">
      <c r="A29">
        <v>502107</v>
      </c>
      <c r="B29" s="106">
        <v>333.46</v>
      </c>
      <c r="D29" t="s">
        <v>139</v>
      </c>
    </row>
    <row r="30" spans="1:14">
      <c r="A30">
        <v>502108</v>
      </c>
      <c r="B30" s="106">
        <v>123.64</v>
      </c>
      <c r="D30" t="s">
        <v>139</v>
      </c>
      <c r="N30">
        <f>23054.35+3699.5</f>
        <v>26753.85</v>
      </c>
    </row>
    <row r="31" spans="1:14">
      <c r="A31">
        <v>502109</v>
      </c>
      <c r="B31" s="106">
        <v>110.4</v>
      </c>
      <c r="D31" t="s">
        <v>139</v>
      </c>
    </row>
    <row r="32" spans="1:14">
      <c r="A32">
        <v>502110</v>
      </c>
      <c r="B32" s="106">
        <v>333.46</v>
      </c>
      <c r="D32" t="s">
        <v>139</v>
      </c>
      <c r="N32">
        <f>N30-L30</f>
        <v>26753.85</v>
      </c>
    </row>
    <row r="33" spans="1:10">
      <c r="A33">
        <v>502111</v>
      </c>
      <c r="B33" s="106">
        <v>60</v>
      </c>
      <c r="D33" t="s">
        <v>139</v>
      </c>
    </row>
    <row r="34" spans="1:10">
      <c r="A34">
        <v>502112</v>
      </c>
      <c r="B34" s="106">
        <v>123.44</v>
      </c>
      <c r="D34" t="s">
        <v>139</v>
      </c>
    </row>
    <row r="35" spans="1:10">
      <c r="A35">
        <v>502113</v>
      </c>
      <c r="B35" s="106">
        <v>110.4</v>
      </c>
      <c r="D35" t="s">
        <v>139</v>
      </c>
    </row>
    <row r="36" spans="1:10">
      <c r="A36">
        <v>502114</v>
      </c>
      <c r="B36" s="106">
        <v>333.46</v>
      </c>
      <c r="D36" t="s">
        <v>139</v>
      </c>
    </row>
    <row r="37" spans="1:10">
      <c r="A37">
        <v>502116</v>
      </c>
      <c r="B37" s="106">
        <v>143.02000000000001</v>
      </c>
      <c r="D37" t="s">
        <v>140</v>
      </c>
    </row>
    <row r="38" spans="1:10">
      <c r="A38">
        <v>502117</v>
      </c>
      <c r="B38" s="106">
        <v>311</v>
      </c>
      <c r="D38" t="s">
        <v>140</v>
      </c>
    </row>
    <row r="39" spans="1:10">
      <c r="A39">
        <v>502118</v>
      </c>
      <c r="B39" s="106">
        <v>52</v>
      </c>
      <c r="D39" t="s">
        <v>140</v>
      </c>
      <c r="H39" s="98"/>
    </row>
    <row r="40" spans="1:10">
      <c r="A40">
        <v>502119</v>
      </c>
      <c r="B40" s="106">
        <v>124.14</v>
      </c>
      <c r="D40" t="s">
        <v>140</v>
      </c>
      <c r="H40" s="98"/>
      <c r="J40" s="98"/>
    </row>
    <row r="41" spans="1:10">
      <c r="A41">
        <v>502120</v>
      </c>
      <c r="B41" s="106">
        <v>383.86</v>
      </c>
      <c r="D41" t="s">
        <v>140</v>
      </c>
      <c r="H41" s="98"/>
      <c r="J41" s="98"/>
    </row>
    <row r="42" spans="1:10">
      <c r="A42">
        <v>502121</v>
      </c>
      <c r="B42" s="106">
        <v>58.4</v>
      </c>
      <c r="D42" t="s">
        <v>140</v>
      </c>
      <c r="H42" s="98"/>
      <c r="J42" s="98"/>
    </row>
    <row r="43" spans="1:10">
      <c r="A43">
        <v>502122</v>
      </c>
      <c r="B43" s="106">
        <v>124.14</v>
      </c>
      <c r="D43" t="s">
        <v>140</v>
      </c>
      <c r="H43" s="98"/>
      <c r="J43" s="98"/>
    </row>
    <row r="44" spans="1:10">
      <c r="A44">
        <v>502124</v>
      </c>
      <c r="B44" s="106">
        <v>383.86</v>
      </c>
      <c r="D44" t="s">
        <v>140</v>
      </c>
      <c r="H44" s="98"/>
      <c r="J44" s="98"/>
    </row>
    <row r="45" spans="1:10">
      <c r="A45">
        <v>502125</v>
      </c>
      <c r="B45" s="106">
        <v>60</v>
      </c>
      <c r="D45" t="s">
        <v>139</v>
      </c>
      <c r="H45" s="98"/>
      <c r="J45" s="98"/>
    </row>
    <row r="46" spans="1:10">
      <c r="A46">
        <v>502126</v>
      </c>
      <c r="B46" s="106">
        <v>240</v>
      </c>
      <c r="D46" t="s">
        <v>139</v>
      </c>
      <c r="H46" s="98"/>
      <c r="J46" s="98"/>
    </row>
    <row r="47" spans="1:10">
      <c r="A47">
        <v>502127</v>
      </c>
      <c r="B47" s="106">
        <v>333.46</v>
      </c>
      <c r="D47" t="s">
        <v>139</v>
      </c>
      <c r="H47" s="98"/>
      <c r="J47" s="98"/>
    </row>
    <row r="48" spans="1:10">
      <c r="A48">
        <v>502128</v>
      </c>
      <c r="B48" s="106">
        <v>123.64</v>
      </c>
      <c r="D48" t="s">
        <v>139</v>
      </c>
      <c r="H48" s="98"/>
      <c r="J48" s="98"/>
    </row>
    <row r="49" spans="1:14">
      <c r="A49">
        <v>502129</v>
      </c>
      <c r="B49" s="106">
        <v>110.4</v>
      </c>
      <c r="D49" t="s">
        <v>139</v>
      </c>
      <c r="H49" s="98"/>
      <c r="J49" s="98"/>
    </row>
    <row r="50" spans="1:14">
      <c r="A50">
        <v>502130</v>
      </c>
      <c r="B50" s="106">
        <v>2706</v>
      </c>
      <c r="D50" t="s">
        <v>140</v>
      </c>
      <c r="H50" s="98"/>
      <c r="J50" s="98"/>
    </row>
    <row r="51" spans="1:14">
      <c r="A51">
        <v>502131</v>
      </c>
      <c r="B51" s="106">
        <v>240</v>
      </c>
      <c r="D51" t="s">
        <v>140</v>
      </c>
      <c r="H51" s="98"/>
      <c r="J51" s="98"/>
    </row>
    <row r="52" spans="1:14">
      <c r="A52">
        <v>502132</v>
      </c>
      <c r="B52" s="106">
        <v>107.4</v>
      </c>
      <c r="D52" t="s">
        <v>140</v>
      </c>
      <c r="H52" s="98"/>
      <c r="J52" s="98"/>
    </row>
    <row r="53" spans="1:14">
      <c r="A53">
        <v>502133</v>
      </c>
      <c r="B53" s="106">
        <v>124.14</v>
      </c>
      <c r="D53" t="s">
        <v>140</v>
      </c>
      <c r="H53" s="98"/>
      <c r="J53" s="98"/>
    </row>
    <row r="54" spans="1:14">
      <c r="A54">
        <v>502134</v>
      </c>
      <c r="B54" s="106">
        <v>384.06</v>
      </c>
      <c r="D54" t="s">
        <v>140</v>
      </c>
      <c r="H54" s="98"/>
      <c r="J54" s="98"/>
    </row>
    <row r="55" spans="1:14">
      <c r="A55">
        <v>502135</v>
      </c>
      <c r="B55" s="106">
        <v>29</v>
      </c>
      <c r="D55" t="s">
        <v>140</v>
      </c>
      <c r="H55" s="98"/>
      <c r="I55" s="98"/>
      <c r="J55" s="98"/>
    </row>
    <row r="56" spans="1:14">
      <c r="A56">
        <v>502136</v>
      </c>
      <c r="B56" s="107">
        <v>110.6</v>
      </c>
      <c r="D56" t="s">
        <v>139</v>
      </c>
      <c r="H56" s="98"/>
      <c r="J56" s="98"/>
    </row>
    <row r="57" spans="1:14">
      <c r="A57">
        <v>502137</v>
      </c>
      <c r="B57" s="106">
        <v>333.46</v>
      </c>
      <c r="D57" t="s">
        <v>139</v>
      </c>
      <c r="H57" s="98"/>
      <c r="J57" s="98"/>
    </row>
    <row r="58" spans="1:14">
      <c r="A58">
        <v>502138</v>
      </c>
      <c r="B58" s="106">
        <v>123.44</v>
      </c>
      <c r="D58" t="s">
        <v>139</v>
      </c>
      <c r="H58" s="98"/>
      <c r="J58" s="98"/>
      <c r="N58">
        <f>42791.37-164.14-110.6-29.2</f>
        <v>42487.430000000008</v>
      </c>
    </row>
    <row r="59" spans="1:14">
      <c r="A59">
        <v>502139</v>
      </c>
      <c r="B59" s="106">
        <v>720</v>
      </c>
      <c r="D59" t="s">
        <v>139</v>
      </c>
      <c r="H59" s="98"/>
      <c r="J59" s="98"/>
    </row>
    <row r="60" spans="1:14">
      <c r="A60">
        <v>502140</v>
      </c>
      <c r="B60">
        <v>29.2</v>
      </c>
      <c r="D60" t="s">
        <v>140</v>
      </c>
      <c r="H60" s="98"/>
      <c r="J60" s="98"/>
    </row>
    <row r="61" spans="1:14">
      <c r="A61">
        <v>502141</v>
      </c>
      <c r="B61" s="106">
        <v>124.14</v>
      </c>
      <c r="D61" t="s">
        <v>140</v>
      </c>
      <c r="H61" s="98"/>
      <c r="J61" s="98"/>
    </row>
    <row r="62" spans="1:14">
      <c r="A62">
        <v>502142</v>
      </c>
      <c r="B62" s="106">
        <v>383.86</v>
      </c>
      <c r="D62" t="s">
        <v>140</v>
      </c>
    </row>
    <row r="63" spans="1:14">
      <c r="A63">
        <v>502143</v>
      </c>
      <c r="B63" s="106">
        <v>3270</v>
      </c>
      <c r="D63" t="s">
        <v>140</v>
      </c>
    </row>
    <row r="64" spans="1:14">
      <c r="A64">
        <v>502144</v>
      </c>
      <c r="B64" s="106">
        <v>60</v>
      </c>
      <c r="D64" t="s">
        <v>139</v>
      </c>
    </row>
    <row r="65" spans="1:16">
      <c r="A65">
        <v>502145</v>
      </c>
      <c r="B65" s="106">
        <v>60</v>
      </c>
      <c r="D65" t="s">
        <v>139</v>
      </c>
      <c r="J65" s="61"/>
      <c r="L65" s="61"/>
    </row>
    <row r="66" spans="1:16">
      <c r="A66">
        <v>502146</v>
      </c>
      <c r="B66" s="105">
        <v>110.4</v>
      </c>
      <c r="D66" t="s">
        <v>139</v>
      </c>
    </row>
    <row r="67" spans="1:16">
      <c r="A67">
        <v>502147</v>
      </c>
      <c r="B67" s="106">
        <v>123.64</v>
      </c>
      <c r="D67" t="s">
        <v>139</v>
      </c>
      <c r="N67" s="61"/>
      <c r="P67" s="61"/>
    </row>
    <row r="68" spans="1:16">
      <c r="A68">
        <v>502148</v>
      </c>
      <c r="B68" s="106">
        <v>333.46</v>
      </c>
      <c r="D68" t="s">
        <v>139</v>
      </c>
    </row>
    <row r="69" spans="1:16">
      <c r="A69">
        <v>502149</v>
      </c>
      <c r="B69" s="106">
        <v>163.63999999999999</v>
      </c>
      <c r="D69" t="s">
        <v>139</v>
      </c>
      <c r="P69" s="61"/>
    </row>
    <row r="70" spans="1:16">
      <c r="A70">
        <v>502150</v>
      </c>
      <c r="B70" s="106">
        <v>318.45999999999998</v>
      </c>
      <c r="D70" t="s">
        <v>139</v>
      </c>
    </row>
    <row r="71" spans="1:16">
      <c r="A71">
        <v>502151</v>
      </c>
      <c r="B71" s="106">
        <v>120.4</v>
      </c>
      <c r="D71" t="s">
        <v>139</v>
      </c>
    </row>
    <row r="72" spans="1:16">
      <c r="A72">
        <v>502152</v>
      </c>
      <c r="B72" s="106">
        <v>58.2</v>
      </c>
      <c r="D72" t="s">
        <v>140</v>
      </c>
      <c r="F72" s="61"/>
    </row>
    <row r="73" spans="1:16">
      <c r="A73">
        <v>502153</v>
      </c>
      <c r="B73" s="105">
        <v>124.14</v>
      </c>
      <c r="D73" t="s">
        <v>140</v>
      </c>
    </row>
    <row r="74" spans="1:16">
      <c r="A74">
        <v>502154</v>
      </c>
      <c r="B74" s="106">
        <v>383.86</v>
      </c>
      <c r="D74" t="s">
        <v>140</v>
      </c>
    </row>
    <row r="75" spans="1:16">
      <c r="A75">
        <v>502155</v>
      </c>
      <c r="B75">
        <v>164.14</v>
      </c>
      <c r="D75" t="s">
        <v>140</v>
      </c>
    </row>
    <row r="76" spans="1:16">
      <c r="A76">
        <v>502156</v>
      </c>
      <c r="B76" s="106">
        <v>369.06</v>
      </c>
      <c r="D76" t="s">
        <v>140</v>
      </c>
    </row>
    <row r="77" spans="1:16">
      <c r="A77">
        <v>502157</v>
      </c>
      <c r="B77" s="106">
        <v>285</v>
      </c>
      <c r="D77" t="s">
        <v>140</v>
      </c>
    </row>
    <row r="78" spans="1:16">
      <c r="A78">
        <v>502158</v>
      </c>
      <c r="B78" s="105">
        <v>455</v>
      </c>
      <c r="D78" t="s">
        <v>140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O48"/>
  <sheetViews>
    <sheetView topLeftCell="A28" workbookViewId="0">
      <selection activeCell="G16" sqref="G16"/>
    </sheetView>
  </sheetViews>
  <sheetFormatPr defaultRowHeight="15"/>
  <cols>
    <col min="1" max="1" width="32.28515625" customWidth="1"/>
    <col min="2" max="2" width="11.28515625" bestFit="1" customWidth="1"/>
    <col min="4" max="4" width="0.42578125" customWidth="1"/>
    <col min="5" max="5" width="9.140625" hidden="1" customWidth="1"/>
    <col min="6" max="7" width="11.5703125" bestFit="1" customWidth="1"/>
    <col min="9" max="9" width="10.5703125" bestFit="1" customWidth="1"/>
    <col min="12" max="13" width="10.5703125" bestFit="1" customWidth="1"/>
  </cols>
  <sheetData>
    <row r="1" spans="1:15" ht="18">
      <c r="A1" s="16" t="s">
        <v>18</v>
      </c>
      <c r="B1" s="17"/>
      <c r="C1" s="17"/>
      <c r="D1" s="17"/>
      <c r="E1" s="17"/>
      <c r="F1" s="18"/>
      <c r="G1" s="18"/>
    </row>
    <row r="2" spans="1:15">
      <c r="A2" s="19"/>
      <c r="B2" s="19"/>
      <c r="C2" s="19"/>
      <c r="D2" s="19"/>
      <c r="E2" s="19"/>
      <c r="F2" s="19"/>
      <c r="G2" s="19"/>
    </row>
    <row r="3" spans="1:15">
      <c r="A3" s="20" t="s">
        <v>19</v>
      </c>
      <c r="B3" s="260" t="s">
        <v>115</v>
      </c>
      <c r="C3" s="261"/>
      <c r="D3" s="261"/>
      <c r="E3" s="261"/>
      <c r="F3" s="261"/>
      <c r="G3" s="262"/>
    </row>
    <row r="4" spans="1:15">
      <c r="A4" s="20"/>
      <c r="B4" s="20"/>
      <c r="C4" s="20"/>
      <c r="D4" s="20"/>
      <c r="E4" s="20"/>
      <c r="F4" s="21"/>
      <c r="G4" s="21"/>
    </row>
    <row r="5" spans="1:15">
      <c r="A5" s="20" t="s">
        <v>20</v>
      </c>
      <c r="B5" s="20"/>
      <c r="C5" s="20"/>
      <c r="D5" s="260" t="s">
        <v>21</v>
      </c>
      <c r="E5" s="261"/>
      <c r="F5" s="261"/>
      <c r="G5" s="262"/>
    </row>
    <row r="6" spans="1:15">
      <c r="A6" s="22" t="s">
        <v>375</v>
      </c>
      <c r="B6" s="22"/>
      <c r="C6" s="22"/>
      <c r="D6" s="22"/>
      <c r="E6" s="20"/>
      <c r="F6" s="21"/>
      <c r="G6" s="21"/>
    </row>
    <row r="7" spans="1:15">
      <c r="A7" s="20"/>
      <c r="B7" s="20"/>
      <c r="C7" s="20"/>
      <c r="D7" s="20"/>
      <c r="E7" s="20"/>
      <c r="F7" s="21"/>
      <c r="G7" s="21"/>
    </row>
    <row r="8" spans="1:15">
      <c r="A8" s="20" t="s">
        <v>22</v>
      </c>
      <c r="B8" s="263" t="s">
        <v>23</v>
      </c>
      <c r="C8" s="264"/>
      <c r="D8" s="264"/>
      <c r="E8" s="264"/>
      <c r="F8" s="264"/>
      <c r="G8" s="265"/>
    </row>
    <row r="9" spans="1:15">
      <c r="A9" s="20"/>
      <c r="B9" s="20"/>
      <c r="C9" s="20"/>
      <c r="D9" s="20"/>
      <c r="E9" s="20"/>
      <c r="F9" s="21"/>
      <c r="G9" s="21"/>
    </row>
    <row r="10" spans="1:15">
      <c r="A10" s="20" t="s">
        <v>24</v>
      </c>
      <c r="B10" s="23">
        <v>45751</v>
      </c>
      <c r="C10" s="20"/>
      <c r="D10" s="20"/>
      <c r="E10" s="20"/>
      <c r="F10" s="21"/>
      <c r="G10" s="21"/>
    </row>
    <row r="11" spans="1:15">
      <c r="A11" s="20"/>
      <c r="B11" s="20"/>
      <c r="C11" s="20"/>
      <c r="D11" s="20"/>
      <c r="E11" s="20"/>
      <c r="F11" s="21"/>
      <c r="G11" s="21"/>
    </row>
    <row r="12" spans="1:15">
      <c r="A12" s="20"/>
      <c r="B12" s="20"/>
      <c r="C12" s="20"/>
      <c r="D12" s="20"/>
      <c r="E12" s="20"/>
      <c r="F12" s="21" t="s">
        <v>1</v>
      </c>
      <c r="G12" s="21" t="s">
        <v>1</v>
      </c>
    </row>
    <row r="13" spans="1:15">
      <c r="A13" s="22" t="s">
        <v>376</v>
      </c>
      <c r="B13" s="22"/>
      <c r="C13" s="22"/>
      <c r="D13" s="22"/>
      <c r="E13" s="22"/>
      <c r="F13" s="24"/>
      <c r="G13" s="24"/>
    </row>
    <row r="14" spans="1:15">
      <c r="A14" s="20"/>
      <c r="B14" s="25" t="s">
        <v>25</v>
      </c>
      <c r="C14" s="20"/>
      <c r="D14" s="20"/>
      <c r="E14" s="20"/>
      <c r="F14" s="26">
        <v>31612.85</v>
      </c>
      <c r="G14" s="21"/>
    </row>
    <row r="15" spans="1:15">
      <c r="A15" s="20"/>
      <c r="B15" s="25" t="s">
        <v>199</v>
      </c>
      <c r="C15" s="20"/>
      <c r="D15" s="20"/>
      <c r="E15" s="20"/>
      <c r="F15" s="26">
        <v>26.27</v>
      </c>
      <c r="G15" s="21"/>
    </row>
    <row r="16" spans="1:15">
      <c r="A16" s="20"/>
      <c r="B16" s="20"/>
      <c r="C16" s="20"/>
      <c r="D16" s="20"/>
      <c r="E16" s="20"/>
      <c r="F16" s="27"/>
      <c r="G16" s="28">
        <f>SUM(F14:F15)</f>
        <v>31639.119999999999</v>
      </c>
      <c r="I16" s="130"/>
      <c r="M16" s="130"/>
      <c r="N16" s="104"/>
      <c r="O16" s="130"/>
    </row>
    <row r="17" spans="1:7">
      <c r="A17" s="20"/>
      <c r="B17" s="20"/>
      <c r="C17" s="20"/>
      <c r="D17" s="20"/>
      <c r="E17" s="20"/>
      <c r="F17" s="21"/>
      <c r="G17" s="21"/>
    </row>
    <row r="18" spans="1:7">
      <c r="A18" s="20" t="s">
        <v>26</v>
      </c>
      <c r="B18" s="20"/>
      <c r="C18" s="20"/>
      <c r="D18" s="20"/>
      <c r="E18" s="20"/>
      <c r="F18" s="21"/>
      <c r="G18" s="21">
        <v>0</v>
      </c>
    </row>
    <row r="19" spans="1:7">
      <c r="A19" s="20"/>
      <c r="B19" s="20"/>
      <c r="C19" s="20"/>
      <c r="D19" s="20"/>
      <c r="E19" s="20"/>
      <c r="F19" s="21"/>
      <c r="G19" s="21"/>
    </row>
    <row r="20" spans="1:7">
      <c r="A20" s="20" t="s">
        <v>377</v>
      </c>
      <c r="B20" s="20"/>
      <c r="C20" s="20"/>
      <c r="D20" s="20"/>
      <c r="E20" s="20"/>
      <c r="F20" s="29"/>
      <c r="G20" s="21"/>
    </row>
    <row r="21" spans="1:7" ht="15.75">
      <c r="A21" s="20"/>
      <c r="B21" s="25"/>
      <c r="C21" s="30"/>
      <c r="D21" s="20"/>
      <c r="E21" s="20"/>
      <c r="F21" s="31"/>
      <c r="G21" s="21"/>
    </row>
    <row r="22" spans="1:7" ht="15.75">
      <c r="A22" s="20"/>
      <c r="B22" s="25"/>
      <c r="C22" s="30"/>
      <c r="D22" s="20"/>
      <c r="E22" s="20"/>
      <c r="F22" s="31"/>
      <c r="G22" s="21"/>
    </row>
    <row r="23" spans="1:7" ht="15.75">
      <c r="A23" s="20"/>
      <c r="B23" s="25"/>
      <c r="C23" s="30"/>
      <c r="D23" s="20"/>
      <c r="E23" s="20"/>
      <c r="F23" s="31"/>
      <c r="G23" s="21"/>
    </row>
    <row r="24" spans="1:7" ht="15.75">
      <c r="A24" s="20"/>
      <c r="B24" s="25"/>
      <c r="C24" s="32"/>
      <c r="D24" s="20"/>
      <c r="E24" s="20"/>
      <c r="F24" s="31"/>
      <c r="G24" s="21"/>
    </row>
    <row r="25" spans="1:7">
      <c r="A25" s="33" t="s">
        <v>27</v>
      </c>
      <c r="B25" s="25"/>
      <c r="C25" s="20"/>
      <c r="D25" s="20"/>
      <c r="E25" s="20"/>
      <c r="F25" s="31"/>
      <c r="G25" s="21"/>
    </row>
    <row r="26" spans="1:7">
      <c r="A26" s="20"/>
      <c r="B26" s="25"/>
      <c r="C26" s="20"/>
      <c r="D26" s="20"/>
      <c r="E26" s="20"/>
      <c r="F26" s="31"/>
      <c r="G26" s="21"/>
    </row>
    <row r="27" spans="1:7">
      <c r="A27" s="20"/>
      <c r="B27" s="25"/>
      <c r="C27" s="20"/>
      <c r="D27" s="20"/>
      <c r="E27" s="20"/>
      <c r="F27" s="31"/>
      <c r="G27" s="21"/>
    </row>
    <row r="28" spans="1:7">
      <c r="A28" s="20"/>
      <c r="B28" s="20"/>
      <c r="C28" s="20"/>
      <c r="D28" s="20"/>
      <c r="E28" s="20"/>
      <c r="F28" s="27"/>
      <c r="G28" s="34">
        <f>SUM(F21:F27)</f>
        <v>0</v>
      </c>
    </row>
    <row r="29" spans="1:7">
      <c r="A29" s="20" t="s">
        <v>378</v>
      </c>
      <c r="B29" s="20"/>
      <c r="C29" s="20"/>
      <c r="D29" s="20"/>
      <c r="E29" s="20"/>
      <c r="F29" s="21"/>
      <c r="G29" s="21"/>
    </row>
    <row r="30" spans="1:7">
      <c r="A30" s="20"/>
      <c r="B30" s="25"/>
      <c r="C30" s="20"/>
      <c r="D30" s="20"/>
      <c r="E30" s="20"/>
      <c r="F30" s="35"/>
      <c r="G30" s="21"/>
    </row>
    <row r="31" spans="1:7">
      <c r="A31" s="20"/>
      <c r="B31" s="20"/>
      <c r="C31" s="20"/>
      <c r="D31" s="20"/>
      <c r="E31" s="20"/>
      <c r="F31" s="27"/>
      <c r="G31" s="27">
        <f>SUM(F30:F30)</f>
        <v>0</v>
      </c>
    </row>
    <row r="32" spans="1:7">
      <c r="A32" s="20"/>
      <c r="B32" s="20"/>
      <c r="C32" s="20"/>
      <c r="D32" s="20"/>
      <c r="E32" s="20"/>
      <c r="F32" s="21"/>
      <c r="G32" s="21"/>
    </row>
    <row r="33" spans="1:15" ht="15.75" thickBot="1">
      <c r="A33" s="22" t="s">
        <v>379</v>
      </c>
      <c r="B33" s="22"/>
      <c r="C33" s="22"/>
      <c r="D33" s="22"/>
      <c r="E33" s="22"/>
      <c r="F33" s="24"/>
      <c r="G33" s="36">
        <f>G16+G18+G28+G31</f>
        <v>31639.119999999999</v>
      </c>
      <c r="I33" s="130"/>
      <c r="L33" s="130"/>
      <c r="M33" s="130"/>
      <c r="N33" s="104"/>
      <c r="O33" s="130"/>
    </row>
    <row r="34" spans="1:15" ht="15.75" thickTop="1">
      <c r="A34" s="20"/>
      <c r="B34" s="20"/>
      <c r="C34" s="20"/>
      <c r="D34" s="20"/>
      <c r="E34" s="20"/>
      <c r="F34" s="21"/>
      <c r="G34" s="21"/>
    </row>
    <row r="36" spans="1:15">
      <c r="A36" s="39" t="s">
        <v>245</v>
      </c>
      <c r="B36" s="39"/>
      <c r="C36" s="39"/>
      <c r="D36" s="39"/>
      <c r="E36" s="39"/>
      <c r="F36" s="39"/>
    </row>
    <row r="37" spans="1:15">
      <c r="A37" s="39"/>
      <c r="B37" s="39"/>
      <c r="C37" s="39"/>
      <c r="D37" s="39"/>
      <c r="E37" s="39"/>
      <c r="F37" s="39"/>
    </row>
    <row r="38" spans="1:15">
      <c r="A38" s="45" t="s">
        <v>246</v>
      </c>
      <c r="B38" s="39"/>
      <c r="C38" s="39"/>
      <c r="D38" s="39"/>
      <c r="E38" s="39"/>
      <c r="F38" s="39"/>
    </row>
    <row r="39" spans="1:15">
      <c r="A39" s="39"/>
      <c r="B39" s="39"/>
      <c r="C39" s="39"/>
      <c r="D39" s="39"/>
      <c r="E39" s="39"/>
      <c r="F39" s="39"/>
      <c r="L39" s="130"/>
    </row>
    <row r="40" spans="1:15">
      <c r="A40" s="39" t="s">
        <v>380</v>
      </c>
      <c r="B40" s="221"/>
      <c r="C40" s="39"/>
      <c r="D40" s="39"/>
      <c r="E40" s="39"/>
      <c r="F40" s="39"/>
      <c r="G40" s="221">
        <f>'Current Account'!D6</f>
        <v>23552.92</v>
      </c>
    </row>
    <row r="41" spans="1:15">
      <c r="A41" s="39"/>
      <c r="B41" s="39"/>
      <c r="C41" s="39"/>
      <c r="D41" s="39"/>
      <c r="E41" s="39"/>
      <c r="F41" s="39"/>
      <c r="G41" s="39"/>
    </row>
    <row r="42" spans="1:15">
      <c r="A42" s="39" t="s">
        <v>247</v>
      </c>
      <c r="B42" s="221"/>
      <c r="C42" s="39"/>
      <c r="D42" s="39"/>
      <c r="E42" s="39"/>
      <c r="F42" s="39"/>
      <c r="G42" s="221">
        <f>'Current Account'!D65</f>
        <v>30962.400000000001</v>
      </c>
    </row>
    <row r="43" spans="1:15">
      <c r="A43" s="39"/>
      <c r="B43" s="39"/>
      <c r="C43" s="39"/>
      <c r="D43" s="39"/>
      <c r="E43" s="39"/>
      <c r="F43" s="39"/>
      <c r="G43" s="39"/>
    </row>
    <row r="44" spans="1:15">
      <c r="A44" s="39" t="s">
        <v>248</v>
      </c>
      <c r="B44" s="221"/>
      <c r="C44" s="39"/>
      <c r="D44" s="39"/>
      <c r="E44" s="39"/>
      <c r="F44" s="39"/>
      <c r="G44" s="221">
        <f>'Current Account'!K65</f>
        <v>22876.204000000005</v>
      </c>
    </row>
    <row r="45" spans="1:15">
      <c r="A45" s="39"/>
      <c r="B45" s="39"/>
      <c r="C45" s="39"/>
      <c r="D45" s="39"/>
      <c r="E45" s="39"/>
      <c r="F45" s="39"/>
      <c r="G45" s="39"/>
    </row>
    <row r="46" spans="1:15" ht="15.75" thickBot="1">
      <c r="A46" s="39" t="s">
        <v>381</v>
      </c>
      <c r="B46" s="221"/>
      <c r="C46" s="39"/>
      <c r="D46" s="39"/>
      <c r="E46" s="39"/>
      <c r="F46" s="39"/>
      <c r="G46" s="222">
        <f>G40+G42-G44</f>
        <v>31639.115999999995</v>
      </c>
    </row>
    <row r="47" spans="1:15" ht="15.75" thickTop="1">
      <c r="A47" s="39"/>
      <c r="B47" s="39"/>
      <c r="C47" s="39"/>
      <c r="D47" s="39"/>
      <c r="E47" s="39"/>
      <c r="F47" s="39"/>
    </row>
    <row r="48" spans="1:15">
      <c r="A48" s="39"/>
      <c r="B48" s="39"/>
      <c r="C48" s="39"/>
      <c r="D48" s="39"/>
      <c r="E48" s="39"/>
      <c r="F48" s="39"/>
    </row>
  </sheetData>
  <mergeCells count="3">
    <mergeCell ref="B3:G3"/>
    <mergeCell ref="D5:G5"/>
    <mergeCell ref="B8:G8"/>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dimension ref="A1:R116"/>
  <sheetViews>
    <sheetView topLeftCell="G48" workbookViewId="0">
      <selection activeCell="M59" sqref="M59"/>
    </sheetView>
  </sheetViews>
  <sheetFormatPr defaultRowHeight="15"/>
  <cols>
    <col min="1" max="1" width="10.7109375" bestFit="1" customWidth="1"/>
    <col min="2" max="2" width="14" bestFit="1" customWidth="1"/>
    <col min="3" max="3" width="20.42578125" bestFit="1" customWidth="1"/>
    <col min="4" max="4" width="9.5703125" bestFit="1" customWidth="1"/>
    <col min="6" max="6" width="12.7109375" bestFit="1" customWidth="1"/>
    <col min="7" max="7" width="31.42578125" bestFit="1" customWidth="1"/>
  </cols>
  <sheetData>
    <row r="1" spans="1:14">
      <c r="A1" s="5" t="s">
        <v>12</v>
      </c>
      <c r="B1" s="5" t="s">
        <v>13</v>
      </c>
      <c r="C1" s="5" t="s">
        <v>0</v>
      </c>
      <c r="D1" s="5" t="s">
        <v>1</v>
      </c>
      <c r="E1" s="5"/>
      <c r="F1" s="6" t="s">
        <v>14</v>
      </c>
      <c r="G1" s="5" t="s">
        <v>2</v>
      </c>
      <c r="H1" s="5" t="s">
        <v>1</v>
      </c>
      <c r="I1" s="5" t="s">
        <v>15</v>
      </c>
      <c r="J1" s="7" t="s">
        <v>16</v>
      </c>
      <c r="K1" s="8" t="s">
        <v>17</v>
      </c>
    </row>
    <row r="2" spans="1:14">
      <c r="A2" s="9">
        <v>43922</v>
      </c>
      <c r="B2" s="10"/>
      <c r="C2" s="3" t="s">
        <v>3</v>
      </c>
      <c r="D2" s="108">
        <f>'Current Account'!D6+7949.27</f>
        <v>31502.19</v>
      </c>
      <c r="E2" s="4"/>
      <c r="F2" s="121">
        <v>502079</v>
      </c>
      <c r="G2" s="2" t="s">
        <v>4</v>
      </c>
      <c r="H2" s="120">
        <v>110.4</v>
      </c>
      <c r="I2" s="100"/>
      <c r="J2" s="117">
        <f>H2+I2</f>
        <v>110.4</v>
      </c>
      <c r="K2" s="11">
        <v>1</v>
      </c>
      <c r="M2">
        <v>105.2</v>
      </c>
    </row>
    <row r="3" spans="1:14">
      <c r="A3" s="12"/>
      <c r="B3" s="13"/>
      <c r="C3" s="3" t="s">
        <v>119</v>
      </c>
      <c r="D3" s="125">
        <f>13335+7592</f>
        <v>20927</v>
      </c>
      <c r="E3" s="4"/>
      <c r="F3" s="121">
        <v>502080</v>
      </c>
      <c r="G3" s="121" t="s">
        <v>120</v>
      </c>
      <c r="H3" s="120">
        <f>527.06-87.84</f>
        <v>439.21999999999991</v>
      </c>
      <c r="I3" s="100">
        <v>87.84</v>
      </c>
      <c r="J3" s="117">
        <f>H3+I3</f>
        <v>527.05999999999995</v>
      </c>
      <c r="K3" s="11">
        <v>2</v>
      </c>
      <c r="M3">
        <v>76.8</v>
      </c>
      <c r="N3" s="98"/>
    </row>
    <row r="4" spans="1:14">
      <c r="A4" s="3"/>
      <c r="B4" s="4"/>
      <c r="C4" s="3" t="s">
        <v>5</v>
      </c>
      <c r="D4" s="109">
        <v>1.1499999999999999</v>
      </c>
      <c r="E4" s="4"/>
      <c r="F4" s="121">
        <v>502081</v>
      </c>
      <c r="G4" s="121" t="s">
        <v>154</v>
      </c>
      <c r="H4" s="120">
        <v>123.64</v>
      </c>
      <c r="I4" s="100"/>
      <c r="J4" s="117">
        <f>H4+I4</f>
        <v>123.64</v>
      </c>
      <c r="K4" s="11">
        <v>3</v>
      </c>
      <c r="M4">
        <v>118.31</v>
      </c>
    </row>
    <row r="5" spans="1:14">
      <c r="A5" s="3"/>
      <c r="B5" s="4"/>
      <c r="C5" s="3" t="s">
        <v>119</v>
      </c>
      <c r="D5" s="125">
        <f>13250+7500</f>
        <v>20750</v>
      </c>
      <c r="E5" s="4"/>
      <c r="F5" s="121">
        <v>502082</v>
      </c>
      <c r="G5" s="110" t="s">
        <v>89</v>
      </c>
      <c r="H5" s="120">
        <v>333.46</v>
      </c>
      <c r="I5" s="120"/>
      <c r="J5" s="117">
        <f>H5+I5</f>
        <v>333.46</v>
      </c>
      <c r="K5" s="11">
        <v>4</v>
      </c>
      <c r="M5">
        <v>113.71</v>
      </c>
    </row>
    <row r="6" spans="1:14">
      <c r="A6" s="3"/>
      <c r="B6" s="4"/>
      <c r="C6" s="3" t="s">
        <v>141</v>
      </c>
      <c r="D6" s="125">
        <v>131.72999999999999</v>
      </c>
      <c r="E6" s="4"/>
      <c r="F6" s="11">
        <v>502083</v>
      </c>
      <c r="G6" s="2" t="s">
        <v>121</v>
      </c>
      <c r="H6" s="111">
        <v>508.78</v>
      </c>
      <c r="I6" s="100"/>
      <c r="J6" s="117">
        <f>H6+I6</f>
        <v>508.78</v>
      </c>
      <c r="K6" s="11">
        <v>5</v>
      </c>
    </row>
    <row r="7" spans="1:14">
      <c r="A7" s="3"/>
      <c r="B7" s="4"/>
      <c r="C7" s="3" t="s">
        <v>135</v>
      </c>
      <c r="D7" s="125">
        <v>454.02</v>
      </c>
      <c r="E7" s="4"/>
      <c r="F7" s="121"/>
      <c r="G7" s="121"/>
      <c r="H7" s="120"/>
      <c r="I7" s="100"/>
      <c r="J7" s="111"/>
      <c r="K7" s="11">
        <v>6</v>
      </c>
    </row>
    <row r="8" spans="1:14">
      <c r="A8" s="14"/>
      <c r="B8" s="4"/>
      <c r="C8" s="3" t="s">
        <v>142</v>
      </c>
      <c r="D8" s="126">
        <v>1500</v>
      </c>
      <c r="E8" s="4"/>
      <c r="F8" s="11">
        <v>502084</v>
      </c>
      <c r="G8" s="2" t="s">
        <v>134</v>
      </c>
      <c r="H8" s="111">
        <v>60</v>
      </c>
      <c r="I8" s="100"/>
      <c r="J8" s="117">
        <f t="shared" ref="J8:J39" si="0">H8+I8</f>
        <v>60</v>
      </c>
      <c r="K8" s="11">
        <v>7</v>
      </c>
    </row>
    <row r="9" spans="1:14">
      <c r="A9" s="3"/>
      <c r="B9" s="4"/>
      <c r="C9" s="3" t="s">
        <v>143</v>
      </c>
      <c r="D9" s="126">
        <v>750</v>
      </c>
      <c r="E9" s="4"/>
      <c r="F9" s="11">
        <v>502085</v>
      </c>
      <c r="G9" s="2" t="s">
        <v>120</v>
      </c>
      <c r="H9" s="111">
        <f>554.78-92.46</f>
        <v>462.32</v>
      </c>
      <c r="I9" s="100">
        <f>554.78/120*20</f>
        <v>92.463333333333324</v>
      </c>
      <c r="J9" s="117">
        <f t="shared" si="0"/>
        <v>554.7833333333333</v>
      </c>
      <c r="K9" s="11">
        <v>8</v>
      </c>
    </row>
    <row r="10" spans="1:14">
      <c r="A10" s="3"/>
      <c r="B10" s="3"/>
      <c r="C10" s="3"/>
      <c r="D10" s="118"/>
      <c r="E10" s="4"/>
      <c r="F10" s="11">
        <v>502086</v>
      </c>
      <c r="G10" s="121" t="s">
        <v>89</v>
      </c>
      <c r="H10" s="111">
        <v>384.06</v>
      </c>
      <c r="I10" s="100"/>
      <c r="J10" s="117">
        <f t="shared" si="0"/>
        <v>384.06</v>
      </c>
      <c r="K10" s="11">
        <v>9</v>
      </c>
    </row>
    <row r="11" spans="1:14">
      <c r="A11" s="11"/>
      <c r="B11" s="11"/>
      <c r="C11" s="3"/>
      <c r="D11" s="109"/>
      <c r="E11" s="4"/>
      <c r="F11" s="11">
        <v>502087</v>
      </c>
      <c r="G11" s="2" t="s">
        <v>117</v>
      </c>
      <c r="H11" s="111">
        <v>124.14</v>
      </c>
      <c r="I11" s="100"/>
      <c r="J11" s="117">
        <f t="shared" si="0"/>
        <v>124.14</v>
      </c>
      <c r="K11" s="11">
        <v>10</v>
      </c>
    </row>
    <row r="12" spans="1:14">
      <c r="A12" s="11"/>
      <c r="B12" s="15"/>
      <c r="C12" s="3" t="s">
        <v>152</v>
      </c>
      <c r="D12" s="129">
        <v>1145</v>
      </c>
      <c r="E12" s="4"/>
      <c r="F12" s="11">
        <v>502088</v>
      </c>
      <c r="G12" s="2" t="s">
        <v>144</v>
      </c>
      <c r="H12" s="111">
        <v>400</v>
      </c>
      <c r="I12" s="100"/>
      <c r="J12" s="117">
        <f t="shared" si="0"/>
        <v>400</v>
      </c>
      <c r="K12" s="11">
        <v>11</v>
      </c>
    </row>
    <row r="13" spans="1:14">
      <c r="A13" s="11"/>
      <c r="B13" s="11"/>
      <c r="C13" s="3"/>
      <c r="D13" s="109"/>
      <c r="E13" s="4"/>
      <c r="F13" s="11">
        <v>502089</v>
      </c>
      <c r="G13" s="2" t="s">
        <v>121</v>
      </c>
      <c r="H13" s="111">
        <v>338.4</v>
      </c>
      <c r="I13" s="100"/>
      <c r="J13" s="117">
        <f t="shared" si="0"/>
        <v>338.4</v>
      </c>
      <c r="K13" s="11"/>
    </row>
    <row r="14" spans="1:14">
      <c r="A14" s="11"/>
      <c r="B14" s="11"/>
      <c r="C14" s="3" t="s">
        <v>153</v>
      </c>
      <c r="D14" s="118">
        <f>338.4+113.71</f>
        <v>452.10999999999996</v>
      </c>
      <c r="E14" s="4"/>
      <c r="F14" s="121">
        <v>502090</v>
      </c>
      <c r="G14" s="121" t="s">
        <v>134</v>
      </c>
      <c r="H14" s="120">
        <v>60</v>
      </c>
      <c r="I14" s="100"/>
      <c r="J14" s="117">
        <f t="shared" si="0"/>
        <v>60</v>
      </c>
      <c r="K14" s="11">
        <v>12</v>
      </c>
    </row>
    <row r="15" spans="1:14">
      <c r="A15" s="11"/>
      <c r="B15" s="11"/>
      <c r="C15" s="3"/>
      <c r="D15" s="12"/>
      <c r="E15" s="4"/>
      <c r="F15" s="121">
        <v>502091</v>
      </c>
      <c r="G15" s="121" t="s">
        <v>154</v>
      </c>
      <c r="H15" s="120">
        <v>123.64</v>
      </c>
      <c r="I15" s="100"/>
      <c r="J15" s="117">
        <f t="shared" si="0"/>
        <v>123.64</v>
      </c>
      <c r="K15" s="11">
        <v>13</v>
      </c>
    </row>
    <row r="16" spans="1:14">
      <c r="A16" s="11"/>
      <c r="B16" s="11"/>
      <c r="C16" s="3"/>
      <c r="D16" s="12"/>
      <c r="E16" s="4"/>
      <c r="F16" s="101">
        <v>502092</v>
      </c>
      <c r="G16" s="121" t="s">
        <v>89</v>
      </c>
      <c r="H16" s="100">
        <v>333.46</v>
      </c>
      <c r="I16" s="100"/>
      <c r="J16" s="117">
        <f t="shared" si="0"/>
        <v>333.46</v>
      </c>
      <c r="K16" s="11">
        <v>14</v>
      </c>
    </row>
    <row r="17" spans="1:11">
      <c r="A17" s="11"/>
      <c r="B17" s="11"/>
      <c r="C17" s="3"/>
      <c r="D17" s="12"/>
      <c r="E17" s="4"/>
      <c r="F17" s="101">
        <v>502093</v>
      </c>
      <c r="G17" s="121" t="s">
        <v>4</v>
      </c>
      <c r="H17" s="100">
        <v>110.4</v>
      </c>
      <c r="I17" s="100"/>
      <c r="J17" s="117">
        <f t="shared" si="0"/>
        <v>110.4</v>
      </c>
      <c r="K17" s="11">
        <v>15</v>
      </c>
    </row>
    <row r="18" spans="1:11">
      <c r="A18" s="3"/>
      <c r="B18" s="3"/>
      <c r="C18" s="3"/>
      <c r="D18" s="12"/>
      <c r="E18" s="4"/>
      <c r="F18" s="11">
        <v>502094</v>
      </c>
      <c r="G18" s="2" t="s">
        <v>117</v>
      </c>
      <c r="H18" s="111">
        <v>124.14</v>
      </c>
      <c r="I18" s="100"/>
      <c r="J18" s="117">
        <f t="shared" si="0"/>
        <v>124.14</v>
      </c>
      <c r="K18" s="11">
        <v>16</v>
      </c>
    </row>
    <row r="19" spans="1:11">
      <c r="A19" s="3"/>
      <c r="B19" s="3"/>
      <c r="C19" s="3"/>
      <c r="D19" s="12"/>
      <c r="E19" s="4"/>
      <c r="F19" s="11">
        <v>502095</v>
      </c>
      <c r="G19" s="2" t="s">
        <v>89</v>
      </c>
      <c r="H19" s="111">
        <v>383.86</v>
      </c>
      <c r="I19" s="100"/>
      <c r="J19" s="117">
        <f t="shared" si="0"/>
        <v>383.86</v>
      </c>
      <c r="K19" s="11">
        <v>17</v>
      </c>
    </row>
    <row r="20" spans="1:11">
      <c r="A20" s="3"/>
      <c r="B20" s="3"/>
      <c r="C20" s="3"/>
      <c r="D20" s="12"/>
      <c r="E20" s="4"/>
      <c r="F20" s="11">
        <v>502096</v>
      </c>
      <c r="G20" s="2" t="s">
        <v>4</v>
      </c>
      <c r="H20" s="111">
        <v>58.2</v>
      </c>
      <c r="I20" s="100"/>
      <c r="J20" s="117">
        <f t="shared" si="0"/>
        <v>58.2</v>
      </c>
      <c r="K20" s="11">
        <v>18</v>
      </c>
    </row>
    <row r="21" spans="1:11">
      <c r="A21" s="3"/>
      <c r="B21" s="3"/>
      <c r="C21" s="3"/>
      <c r="D21" s="12"/>
      <c r="E21" s="4"/>
      <c r="F21" s="11">
        <v>502097</v>
      </c>
      <c r="G21" s="2" t="s">
        <v>129</v>
      </c>
      <c r="H21" s="111">
        <f>78+7.95</f>
        <v>85.95</v>
      </c>
      <c r="I21" s="100">
        <f>103.14/120*20</f>
        <v>17.190000000000001</v>
      </c>
      <c r="J21" s="117">
        <f t="shared" si="0"/>
        <v>103.14</v>
      </c>
      <c r="K21" s="11">
        <v>19</v>
      </c>
    </row>
    <row r="22" spans="1:11">
      <c r="A22" s="3"/>
      <c r="B22" s="3"/>
      <c r="C22" s="3"/>
      <c r="D22" s="12"/>
      <c r="E22" s="4"/>
      <c r="F22" s="11">
        <v>502098</v>
      </c>
      <c r="G22" s="2" t="s">
        <v>133</v>
      </c>
      <c r="H22" s="111">
        <v>2500</v>
      </c>
      <c r="I22" s="100"/>
      <c r="J22" s="117">
        <f t="shared" si="0"/>
        <v>2500</v>
      </c>
      <c r="K22" s="11">
        <v>20</v>
      </c>
    </row>
    <row r="23" spans="1:11">
      <c r="A23" s="3"/>
      <c r="B23" s="3"/>
      <c r="C23" s="3"/>
      <c r="D23" s="12"/>
      <c r="E23" s="4"/>
      <c r="F23" s="11">
        <v>502099</v>
      </c>
      <c r="G23" s="2" t="s">
        <v>123</v>
      </c>
      <c r="H23" s="111">
        <v>18.32</v>
      </c>
      <c r="I23" s="100">
        <v>3.67</v>
      </c>
      <c r="J23" s="117">
        <f t="shared" si="0"/>
        <v>21.990000000000002</v>
      </c>
      <c r="K23" s="11">
        <v>21</v>
      </c>
    </row>
    <row r="24" spans="1:11">
      <c r="A24" s="3"/>
      <c r="B24" s="3"/>
      <c r="C24" s="3"/>
      <c r="D24" s="12"/>
      <c r="E24" s="4"/>
      <c r="F24" s="11">
        <v>502101</v>
      </c>
      <c r="G24" s="2" t="s">
        <v>117</v>
      </c>
      <c r="H24" s="111">
        <v>124.14</v>
      </c>
      <c r="I24" s="100"/>
      <c r="J24" s="117">
        <f t="shared" si="0"/>
        <v>124.14</v>
      </c>
      <c r="K24" s="11">
        <v>22</v>
      </c>
    </row>
    <row r="25" spans="1:11">
      <c r="A25" s="3"/>
      <c r="B25" s="3"/>
      <c r="C25" s="3"/>
      <c r="D25" s="12"/>
      <c r="E25" s="4"/>
      <c r="F25" s="11">
        <v>502102</v>
      </c>
      <c r="G25" s="2" t="s">
        <v>122</v>
      </c>
      <c r="H25" s="111">
        <v>5000</v>
      </c>
      <c r="I25" s="100"/>
      <c r="J25" s="117">
        <f t="shared" si="0"/>
        <v>5000</v>
      </c>
      <c r="K25" s="11">
        <v>23</v>
      </c>
    </row>
    <row r="26" spans="1:11">
      <c r="A26" s="3"/>
      <c r="B26" s="3"/>
      <c r="C26" s="3"/>
      <c r="D26" s="12"/>
      <c r="E26" s="4"/>
      <c r="F26" s="11">
        <v>502103</v>
      </c>
      <c r="G26" s="2" t="s">
        <v>4</v>
      </c>
      <c r="H26" s="111">
        <v>29</v>
      </c>
      <c r="I26" s="100"/>
      <c r="J26" s="117">
        <f t="shared" si="0"/>
        <v>29</v>
      </c>
      <c r="K26" s="11">
        <v>24</v>
      </c>
    </row>
    <row r="27" spans="1:11">
      <c r="A27" s="3"/>
      <c r="B27" s="3"/>
      <c r="C27" s="3"/>
      <c r="D27" s="12"/>
      <c r="E27" s="4"/>
      <c r="F27" s="11">
        <v>502104</v>
      </c>
      <c r="G27" s="2" t="s">
        <v>89</v>
      </c>
      <c r="H27" s="111">
        <v>384.06</v>
      </c>
      <c r="I27" s="100"/>
      <c r="J27" s="117">
        <f t="shared" si="0"/>
        <v>384.06</v>
      </c>
      <c r="K27" s="11">
        <v>25</v>
      </c>
    </row>
    <row r="28" spans="1:11">
      <c r="A28" s="3"/>
      <c r="B28" s="3"/>
      <c r="C28" s="3"/>
      <c r="D28" s="12"/>
      <c r="E28" s="4"/>
      <c r="F28" s="101">
        <v>502105</v>
      </c>
      <c r="G28" s="121" t="s">
        <v>154</v>
      </c>
      <c r="H28" s="100">
        <v>123.44</v>
      </c>
      <c r="I28" s="100"/>
      <c r="J28" s="117">
        <f t="shared" si="0"/>
        <v>123.44</v>
      </c>
      <c r="K28" s="11">
        <v>26</v>
      </c>
    </row>
    <row r="29" spans="1:11">
      <c r="A29" s="3"/>
      <c r="B29" s="3"/>
      <c r="C29" s="3"/>
      <c r="D29" s="12"/>
      <c r="E29" s="4"/>
      <c r="F29" s="101">
        <v>502106</v>
      </c>
      <c r="G29" s="121" t="s">
        <v>4</v>
      </c>
      <c r="H29" s="100">
        <v>110.6</v>
      </c>
      <c r="I29" s="100"/>
      <c r="J29" s="117">
        <f t="shared" si="0"/>
        <v>110.6</v>
      </c>
      <c r="K29" s="11">
        <v>27</v>
      </c>
    </row>
    <row r="30" spans="1:11">
      <c r="A30" s="3"/>
      <c r="B30" s="3"/>
      <c r="C30" s="3"/>
      <c r="D30" s="12"/>
      <c r="E30" s="4"/>
      <c r="F30" s="101">
        <v>502107</v>
      </c>
      <c r="G30" s="121" t="s">
        <v>89</v>
      </c>
      <c r="H30" s="100">
        <v>333.46</v>
      </c>
      <c r="I30" s="100"/>
      <c r="J30" s="117">
        <f t="shared" si="0"/>
        <v>333.46</v>
      </c>
      <c r="K30" s="11">
        <v>28</v>
      </c>
    </row>
    <row r="31" spans="1:11">
      <c r="A31" s="3"/>
      <c r="B31" s="3"/>
      <c r="C31" s="3"/>
      <c r="D31" s="12"/>
      <c r="E31" s="4"/>
      <c r="F31" s="101">
        <v>502108</v>
      </c>
      <c r="G31" s="121" t="s">
        <v>154</v>
      </c>
      <c r="H31" s="100">
        <v>123.64</v>
      </c>
      <c r="I31" s="100"/>
      <c r="J31" s="117">
        <f t="shared" si="0"/>
        <v>123.64</v>
      </c>
      <c r="K31" s="11">
        <v>29</v>
      </c>
    </row>
    <row r="32" spans="1:11">
      <c r="A32" s="3"/>
      <c r="B32" s="3"/>
      <c r="C32" s="3"/>
      <c r="D32" s="12"/>
      <c r="E32" s="4"/>
      <c r="F32" s="101">
        <v>502109</v>
      </c>
      <c r="G32" s="121" t="s">
        <v>4</v>
      </c>
      <c r="H32" s="100">
        <v>110.4</v>
      </c>
      <c r="I32" s="100"/>
      <c r="J32" s="117">
        <f t="shared" si="0"/>
        <v>110.4</v>
      </c>
      <c r="K32" s="11">
        <v>30</v>
      </c>
    </row>
    <row r="33" spans="1:11">
      <c r="A33" s="3"/>
      <c r="B33" s="3"/>
      <c r="C33" s="3"/>
      <c r="D33" s="12"/>
      <c r="E33" s="4"/>
      <c r="F33" s="101">
        <v>502110</v>
      </c>
      <c r="G33" s="121" t="s">
        <v>89</v>
      </c>
      <c r="H33" s="100">
        <v>333.46</v>
      </c>
      <c r="I33" s="100"/>
      <c r="J33" s="117">
        <f t="shared" si="0"/>
        <v>333.46</v>
      </c>
      <c r="K33" s="11">
        <v>31</v>
      </c>
    </row>
    <row r="34" spans="1:11">
      <c r="A34" s="3"/>
      <c r="B34" s="3"/>
      <c r="C34" s="3"/>
      <c r="D34" s="12"/>
      <c r="E34" s="4"/>
      <c r="F34" s="101">
        <v>502111</v>
      </c>
      <c r="G34" s="121" t="s">
        <v>155</v>
      </c>
      <c r="H34" s="100">
        <v>50</v>
      </c>
      <c r="I34" s="100">
        <v>10</v>
      </c>
      <c r="J34" s="117">
        <f t="shared" si="0"/>
        <v>60</v>
      </c>
      <c r="K34" s="11">
        <v>32</v>
      </c>
    </row>
    <row r="35" spans="1:11">
      <c r="A35" s="3"/>
      <c r="B35" s="3"/>
      <c r="C35" s="3"/>
      <c r="D35" s="12"/>
      <c r="E35" s="4"/>
      <c r="F35" s="101">
        <v>502112</v>
      </c>
      <c r="G35" s="121" t="s">
        <v>154</v>
      </c>
      <c r="H35" s="100">
        <v>123.44</v>
      </c>
      <c r="I35" s="100"/>
      <c r="J35" s="117">
        <f t="shared" si="0"/>
        <v>123.44</v>
      </c>
      <c r="K35" s="11">
        <v>33</v>
      </c>
    </row>
    <row r="36" spans="1:11">
      <c r="A36" s="3"/>
      <c r="B36" s="3"/>
      <c r="C36" s="3"/>
      <c r="D36" s="12"/>
      <c r="E36" s="4"/>
      <c r="F36" s="101">
        <v>502113</v>
      </c>
      <c r="G36" s="121" t="s">
        <v>4</v>
      </c>
      <c r="H36" s="100">
        <v>110.4</v>
      </c>
      <c r="I36" s="100"/>
      <c r="J36" s="117">
        <f t="shared" si="0"/>
        <v>110.4</v>
      </c>
      <c r="K36" s="11">
        <v>34</v>
      </c>
    </row>
    <row r="37" spans="1:11">
      <c r="A37" s="3"/>
      <c r="B37" s="3"/>
      <c r="C37" s="3"/>
      <c r="D37" s="12"/>
      <c r="E37" s="4"/>
      <c r="F37" s="101">
        <v>502114</v>
      </c>
      <c r="G37" s="121" t="s">
        <v>89</v>
      </c>
      <c r="H37" s="100">
        <v>333.46</v>
      </c>
      <c r="I37" s="100"/>
      <c r="J37" s="117">
        <f t="shared" si="0"/>
        <v>333.46</v>
      </c>
      <c r="K37" s="11">
        <v>35</v>
      </c>
    </row>
    <row r="38" spans="1:11">
      <c r="A38" s="3"/>
      <c r="B38" s="3"/>
      <c r="C38" s="3"/>
      <c r="D38" s="12"/>
      <c r="E38" s="4"/>
      <c r="F38" s="11">
        <v>502116</v>
      </c>
      <c r="G38" s="2" t="s">
        <v>145</v>
      </c>
      <c r="H38" s="111">
        <v>143.02000000000001</v>
      </c>
      <c r="I38" s="100"/>
      <c r="J38" s="117">
        <f t="shared" si="0"/>
        <v>143.02000000000001</v>
      </c>
      <c r="K38" s="11">
        <v>36</v>
      </c>
    </row>
    <row r="39" spans="1:11">
      <c r="A39" s="3"/>
      <c r="B39" s="3"/>
      <c r="C39" s="3"/>
      <c r="D39" s="12"/>
      <c r="E39" s="4"/>
      <c r="F39" s="11">
        <v>502117</v>
      </c>
      <c r="G39" s="2" t="s">
        <v>145</v>
      </c>
      <c r="H39" s="111">
        <v>311</v>
      </c>
      <c r="I39" s="100"/>
      <c r="J39" s="117">
        <f t="shared" si="0"/>
        <v>311</v>
      </c>
      <c r="K39" s="11">
        <v>37</v>
      </c>
    </row>
    <row r="40" spans="1:11">
      <c r="A40" s="3"/>
      <c r="B40" s="3"/>
      <c r="C40" s="3"/>
      <c r="D40" s="12"/>
      <c r="E40" s="4"/>
      <c r="F40" s="11">
        <v>502118</v>
      </c>
      <c r="G40" s="2" t="s">
        <v>146</v>
      </c>
      <c r="H40" s="111">
        <v>52</v>
      </c>
      <c r="I40" s="100"/>
      <c r="J40" s="117">
        <f t="shared" ref="J40:J71" si="1">H40+I40</f>
        <v>52</v>
      </c>
      <c r="K40" s="11">
        <v>38</v>
      </c>
    </row>
    <row r="41" spans="1:11">
      <c r="A41" s="3"/>
      <c r="B41" s="3"/>
      <c r="C41" s="3"/>
      <c r="D41" s="12"/>
      <c r="E41" s="4"/>
      <c r="F41" s="103">
        <v>502119</v>
      </c>
      <c r="G41" s="2" t="s">
        <v>117</v>
      </c>
      <c r="H41" s="111">
        <v>124.14</v>
      </c>
      <c r="I41" s="100"/>
      <c r="J41" s="117">
        <f t="shared" si="1"/>
        <v>124.14</v>
      </c>
      <c r="K41" s="11">
        <v>39</v>
      </c>
    </row>
    <row r="42" spans="1:11">
      <c r="A42" s="3"/>
      <c r="B42" s="3"/>
      <c r="C42" s="3"/>
      <c r="D42" s="12"/>
      <c r="E42" s="4"/>
      <c r="F42" s="103">
        <v>502120</v>
      </c>
      <c r="G42" s="2" t="s">
        <v>89</v>
      </c>
      <c r="H42" s="111">
        <v>383.86</v>
      </c>
      <c r="I42" s="100"/>
      <c r="J42" s="117">
        <f t="shared" si="1"/>
        <v>383.86</v>
      </c>
      <c r="K42" s="11">
        <v>40</v>
      </c>
    </row>
    <row r="43" spans="1:11">
      <c r="A43" s="3"/>
      <c r="B43" s="3"/>
      <c r="C43" s="3"/>
      <c r="D43" s="12"/>
      <c r="E43" s="4"/>
      <c r="F43" s="103">
        <v>502121</v>
      </c>
      <c r="G43" s="2" t="s">
        <v>4</v>
      </c>
      <c r="H43" s="111">
        <v>58.4</v>
      </c>
      <c r="I43" s="100"/>
      <c r="J43" s="117">
        <f t="shared" si="1"/>
        <v>58.4</v>
      </c>
      <c r="K43" s="11">
        <v>41</v>
      </c>
    </row>
    <row r="44" spans="1:11">
      <c r="A44" s="3"/>
      <c r="B44" s="3"/>
      <c r="C44" s="3"/>
      <c r="D44" s="12"/>
      <c r="E44" s="4"/>
      <c r="F44" s="103">
        <v>502122</v>
      </c>
      <c r="G44" s="2" t="s">
        <v>117</v>
      </c>
      <c r="H44" s="111">
        <v>124.14</v>
      </c>
      <c r="I44" s="100"/>
      <c r="J44" s="117">
        <f t="shared" si="1"/>
        <v>124.14</v>
      </c>
      <c r="K44" s="11">
        <v>42</v>
      </c>
    </row>
    <row r="45" spans="1:11">
      <c r="A45" s="3"/>
      <c r="B45" s="3"/>
      <c r="C45" s="3"/>
      <c r="D45" s="12"/>
      <c r="E45" s="4"/>
      <c r="F45" s="103">
        <v>502124</v>
      </c>
      <c r="G45" s="2" t="s">
        <v>89</v>
      </c>
      <c r="H45" s="111">
        <v>383.86</v>
      </c>
      <c r="I45" s="100"/>
      <c r="J45" s="117">
        <f t="shared" si="1"/>
        <v>383.86</v>
      </c>
      <c r="K45" s="11">
        <v>43</v>
      </c>
    </row>
    <row r="46" spans="1:11">
      <c r="A46" s="3"/>
      <c r="B46" s="3"/>
      <c r="C46" s="3"/>
      <c r="D46" s="12"/>
      <c r="E46" s="4"/>
      <c r="F46" s="101">
        <v>502125</v>
      </c>
      <c r="G46" s="121" t="s">
        <v>155</v>
      </c>
      <c r="H46" s="100">
        <v>50</v>
      </c>
      <c r="I46" s="100">
        <v>10</v>
      </c>
      <c r="J46" s="117">
        <f t="shared" si="1"/>
        <v>60</v>
      </c>
      <c r="K46" s="11">
        <v>44</v>
      </c>
    </row>
    <row r="47" spans="1:11">
      <c r="A47" s="3"/>
      <c r="B47" s="3"/>
      <c r="C47" s="3"/>
      <c r="D47" s="12"/>
      <c r="E47" s="4"/>
      <c r="F47" s="101">
        <v>502126</v>
      </c>
      <c r="G47" s="121" t="s">
        <v>137</v>
      </c>
      <c r="H47" s="100">
        <v>200</v>
      </c>
      <c r="I47" s="100">
        <v>40</v>
      </c>
      <c r="J47" s="117">
        <f t="shared" si="1"/>
        <v>240</v>
      </c>
      <c r="K47" s="11">
        <v>45</v>
      </c>
    </row>
    <row r="48" spans="1:11">
      <c r="A48" s="3"/>
      <c r="B48" s="3"/>
      <c r="C48" s="3"/>
      <c r="D48" s="12"/>
      <c r="E48" s="4"/>
      <c r="F48" s="101">
        <v>502127</v>
      </c>
      <c r="G48" s="121" t="s">
        <v>89</v>
      </c>
      <c r="H48" s="100">
        <v>333.46</v>
      </c>
      <c r="I48" s="100"/>
      <c r="J48" s="117">
        <f t="shared" si="1"/>
        <v>333.46</v>
      </c>
      <c r="K48" s="11">
        <v>46</v>
      </c>
    </row>
    <row r="49" spans="1:18">
      <c r="A49" s="3"/>
      <c r="B49" s="3"/>
      <c r="C49" s="3"/>
      <c r="D49" s="12"/>
      <c r="E49" s="4"/>
      <c r="F49" s="101">
        <v>502128</v>
      </c>
      <c r="G49" s="121" t="s">
        <v>154</v>
      </c>
      <c r="H49" s="100">
        <v>123.64</v>
      </c>
      <c r="I49" s="100"/>
      <c r="J49" s="117">
        <f t="shared" si="1"/>
        <v>123.64</v>
      </c>
      <c r="K49" s="11">
        <v>47</v>
      </c>
    </row>
    <row r="50" spans="1:18">
      <c r="A50" s="3"/>
      <c r="B50" s="3"/>
      <c r="C50" s="3"/>
      <c r="D50" s="12"/>
      <c r="E50" s="4"/>
      <c r="F50" s="101">
        <v>502129</v>
      </c>
      <c r="G50" s="121" t="s">
        <v>4</v>
      </c>
      <c r="H50" s="100">
        <v>110.4</v>
      </c>
      <c r="I50" s="100"/>
      <c r="J50" s="117">
        <f t="shared" si="1"/>
        <v>110.4</v>
      </c>
      <c r="K50" s="11">
        <v>48</v>
      </c>
    </row>
    <row r="51" spans="1:18">
      <c r="A51" s="3"/>
      <c r="B51" s="3"/>
      <c r="C51" s="3"/>
      <c r="D51" s="12"/>
      <c r="E51" s="4"/>
      <c r="F51" s="103">
        <v>502130</v>
      </c>
      <c r="G51" s="2" t="s">
        <v>147</v>
      </c>
      <c r="H51" s="111">
        <v>2255</v>
      </c>
      <c r="I51" s="100">
        <v>451</v>
      </c>
      <c r="J51" s="117">
        <f t="shared" si="1"/>
        <v>2706</v>
      </c>
      <c r="K51" s="11">
        <v>49</v>
      </c>
    </row>
    <row r="52" spans="1:18">
      <c r="A52" s="3"/>
      <c r="B52" s="3"/>
      <c r="C52" s="3"/>
      <c r="D52" s="12"/>
      <c r="E52" s="4"/>
      <c r="F52" s="103">
        <v>502131</v>
      </c>
      <c r="G52" s="2" t="s">
        <v>148</v>
      </c>
      <c r="H52" s="111">
        <v>200</v>
      </c>
      <c r="I52" s="100">
        <v>40</v>
      </c>
      <c r="J52" s="117">
        <f t="shared" si="1"/>
        <v>240</v>
      </c>
      <c r="K52" s="11">
        <v>50</v>
      </c>
    </row>
    <row r="53" spans="1:18">
      <c r="A53" s="3"/>
      <c r="B53" s="3"/>
      <c r="C53" s="3"/>
      <c r="D53" s="12"/>
      <c r="E53" s="4"/>
      <c r="F53" s="103">
        <v>502132</v>
      </c>
      <c r="G53" s="2" t="s">
        <v>130</v>
      </c>
      <c r="H53" s="111">
        <v>89.5</v>
      </c>
      <c r="I53" s="100">
        <v>17.899999999999999</v>
      </c>
      <c r="J53" s="117">
        <f t="shared" si="1"/>
        <v>107.4</v>
      </c>
      <c r="K53" s="11">
        <v>51</v>
      </c>
    </row>
    <row r="54" spans="1:18">
      <c r="A54" s="3"/>
      <c r="B54" s="3"/>
      <c r="C54" s="3"/>
      <c r="D54" s="12"/>
      <c r="E54" s="4"/>
      <c r="F54" s="103">
        <v>502133</v>
      </c>
      <c r="G54" s="2" t="s">
        <v>117</v>
      </c>
      <c r="H54" s="111">
        <v>124.14</v>
      </c>
      <c r="I54" s="100"/>
      <c r="J54" s="117">
        <f t="shared" si="1"/>
        <v>124.14</v>
      </c>
      <c r="K54" s="11">
        <v>52</v>
      </c>
    </row>
    <row r="55" spans="1:18">
      <c r="A55" s="3"/>
      <c r="B55" s="3"/>
      <c r="C55" s="3"/>
      <c r="D55" s="12"/>
      <c r="E55" s="4"/>
      <c r="F55" s="103">
        <v>502134</v>
      </c>
      <c r="G55" s="2" t="s">
        <v>89</v>
      </c>
      <c r="H55" s="111">
        <v>384.06</v>
      </c>
      <c r="I55" s="100"/>
      <c r="J55" s="117">
        <f t="shared" si="1"/>
        <v>384.06</v>
      </c>
      <c r="K55" s="11">
        <v>53</v>
      </c>
    </row>
    <row r="56" spans="1:18">
      <c r="A56" s="3"/>
      <c r="B56" s="3"/>
      <c r="C56" s="3"/>
      <c r="D56" s="12"/>
      <c r="E56" s="4"/>
      <c r="F56" s="103">
        <v>502135</v>
      </c>
      <c r="G56" s="2" t="s">
        <v>4</v>
      </c>
      <c r="H56" s="111">
        <v>29</v>
      </c>
      <c r="I56" s="100"/>
      <c r="J56" s="117">
        <f t="shared" si="1"/>
        <v>29</v>
      </c>
      <c r="K56" s="11">
        <v>54</v>
      </c>
    </row>
    <row r="57" spans="1:18">
      <c r="A57" s="3"/>
      <c r="B57" s="3"/>
      <c r="C57" s="3"/>
      <c r="D57" s="12"/>
      <c r="E57" s="4"/>
      <c r="F57" s="101">
        <v>502136</v>
      </c>
      <c r="G57" s="121" t="s">
        <v>4</v>
      </c>
      <c r="H57" s="100">
        <v>110.6</v>
      </c>
      <c r="I57" s="100"/>
      <c r="J57" s="128">
        <f t="shared" si="1"/>
        <v>110.6</v>
      </c>
      <c r="K57" s="11">
        <v>55</v>
      </c>
    </row>
    <row r="58" spans="1:18">
      <c r="A58" s="3"/>
      <c r="B58" s="2"/>
      <c r="C58" s="11"/>
      <c r="D58" s="12"/>
      <c r="E58" s="69"/>
      <c r="F58" s="122">
        <v>502137</v>
      </c>
      <c r="G58" s="121" t="s">
        <v>89</v>
      </c>
      <c r="H58" s="100">
        <v>333.46</v>
      </c>
      <c r="I58" s="100"/>
      <c r="J58" s="117">
        <f t="shared" si="1"/>
        <v>333.46</v>
      </c>
      <c r="K58" s="11"/>
      <c r="N58" s="98"/>
      <c r="P58" s="98"/>
      <c r="R58" s="98"/>
    </row>
    <row r="59" spans="1:18">
      <c r="A59" s="3"/>
      <c r="B59" s="2"/>
      <c r="C59" s="11"/>
      <c r="D59" s="12"/>
      <c r="E59" s="69"/>
      <c r="F59" s="101">
        <v>502138</v>
      </c>
      <c r="G59" s="121" t="s">
        <v>154</v>
      </c>
      <c r="H59" s="100">
        <v>123.44</v>
      </c>
      <c r="I59" s="100"/>
      <c r="J59" s="117">
        <f t="shared" si="1"/>
        <v>123.44</v>
      </c>
      <c r="K59" s="11"/>
      <c r="N59" s="98"/>
    </row>
    <row r="60" spans="1:18">
      <c r="A60" s="3"/>
      <c r="B60" s="2"/>
      <c r="C60" s="11"/>
      <c r="D60" s="12"/>
      <c r="E60" s="69"/>
      <c r="F60" s="101">
        <v>502139</v>
      </c>
      <c r="G60" s="121" t="s">
        <v>156</v>
      </c>
      <c r="H60" s="100">
        <v>720</v>
      </c>
      <c r="I60" s="100"/>
      <c r="J60" s="117">
        <f t="shared" si="1"/>
        <v>720</v>
      </c>
      <c r="K60" s="11"/>
      <c r="M60">
        <v>33759.11</v>
      </c>
      <c r="N60" s="98">
        <f>J111+'[1]Current Account'!$K$61</f>
        <v>66991.006666666668</v>
      </c>
    </row>
    <row r="61" spans="1:18">
      <c r="A61" s="3"/>
      <c r="B61" s="2"/>
      <c r="C61" s="11"/>
      <c r="D61" s="12"/>
      <c r="E61" s="69"/>
      <c r="F61" s="103">
        <v>502140</v>
      </c>
      <c r="G61" s="2" t="s">
        <v>4</v>
      </c>
      <c r="H61" s="111">
        <v>29.2</v>
      </c>
      <c r="I61" s="100"/>
      <c r="J61" s="117">
        <f t="shared" si="1"/>
        <v>29.2</v>
      </c>
      <c r="K61" s="11"/>
      <c r="M61">
        <v>3700.66</v>
      </c>
    </row>
    <row r="62" spans="1:18">
      <c r="A62" s="2"/>
      <c r="B62" s="2"/>
      <c r="C62" s="2"/>
      <c r="D62" s="12"/>
      <c r="E62" s="2"/>
      <c r="F62" s="103">
        <v>502141</v>
      </c>
      <c r="G62" s="2" t="s">
        <v>117</v>
      </c>
      <c r="H62" s="111">
        <v>124.14</v>
      </c>
      <c r="I62" s="100"/>
      <c r="J62" s="117">
        <f t="shared" si="1"/>
        <v>124.14</v>
      </c>
      <c r="K62" s="11"/>
    </row>
    <row r="63" spans="1:18">
      <c r="A63" s="2"/>
      <c r="B63" s="2"/>
      <c r="C63" s="2"/>
      <c r="D63" s="12"/>
      <c r="E63" s="2"/>
      <c r="F63" s="103">
        <v>502142</v>
      </c>
      <c r="G63" s="2" t="s">
        <v>89</v>
      </c>
      <c r="H63" s="111">
        <v>383.86</v>
      </c>
      <c r="I63" s="100"/>
      <c r="J63" s="117">
        <f t="shared" si="1"/>
        <v>383.86</v>
      </c>
    </row>
    <row r="64" spans="1:18">
      <c r="A64" s="2"/>
      <c r="B64" s="2"/>
      <c r="C64" s="2"/>
      <c r="D64" s="12"/>
      <c r="E64" s="2"/>
      <c r="F64" s="103">
        <v>502143</v>
      </c>
      <c r="G64" s="2" t="s">
        <v>122</v>
      </c>
      <c r="H64" s="111">
        <v>3270</v>
      </c>
      <c r="I64" s="100"/>
      <c r="J64" s="117">
        <f t="shared" si="1"/>
        <v>3270</v>
      </c>
    </row>
    <row r="65" spans="1:10">
      <c r="A65" s="2"/>
      <c r="B65" s="2"/>
      <c r="C65" s="2"/>
      <c r="D65" s="12"/>
      <c r="E65" s="2"/>
      <c r="F65" s="101">
        <v>502144</v>
      </c>
      <c r="G65" s="121" t="s">
        <v>155</v>
      </c>
      <c r="H65" s="100">
        <v>50</v>
      </c>
      <c r="I65" s="100">
        <v>10</v>
      </c>
      <c r="J65" s="117">
        <f t="shared" si="1"/>
        <v>60</v>
      </c>
    </row>
    <row r="66" spans="1:10">
      <c r="A66" s="2"/>
      <c r="B66" s="2"/>
      <c r="C66" s="2"/>
      <c r="D66" s="12"/>
      <c r="E66" s="2"/>
      <c r="F66" s="101">
        <v>502145</v>
      </c>
      <c r="G66" s="121" t="s">
        <v>155</v>
      </c>
      <c r="H66" s="100">
        <v>50</v>
      </c>
      <c r="I66" s="100">
        <v>10</v>
      </c>
      <c r="J66" s="117">
        <f t="shared" si="1"/>
        <v>60</v>
      </c>
    </row>
    <row r="67" spans="1:10">
      <c r="A67" s="2"/>
      <c r="B67" s="2"/>
      <c r="C67" s="2"/>
      <c r="D67" s="12"/>
      <c r="E67" s="2"/>
      <c r="F67" s="101">
        <v>502146</v>
      </c>
      <c r="G67" s="121" t="s">
        <v>4</v>
      </c>
      <c r="H67" s="100">
        <v>110.4</v>
      </c>
      <c r="I67" s="100"/>
      <c r="J67" s="117">
        <f t="shared" si="1"/>
        <v>110.4</v>
      </c>
    </row>
    <row r="68" spans="1:10">
      <c r="A68" s="2"/>
      <c r="B68" s="2"/>
      <c r="C68" s="2"/>
      <c r="D68" s="12"/>
      <c r="E68" s="2"/>
      <c r="F68" s="101">
        <v>502147</v>
      </c>
      <c r="G68" s="121" t="s">
        <v>154</v>
      </c>
      <c r="H68" s="100">
        <v>123.64</v>
      </c>
      <c r="I68" s="100"/>
      <c r="J68" s="117">
        <f t="shared" si="1"/>
        <v>123.64</v>
      </c>
    </row>
    <row r="69" spans="1:10">
      <c r="A69" s="2"/>
      <c r="B69" s="2"/>
      <c r="C69" s="2"/>
      <c r="D69" s="12"/>
      <c r="E69" s="2"/>
      <c r="F69" s="101">
        <v>502148</v>
      </c>
      <c r="G69" s="121" t="s">
        <v>89</v>
      </c>
      <c r="H69" s="100">
        <v>333.46</v>
      </c>
      <c r="I69" s="100"/>
      <c r="J69" s="117">
        <f t="shared" si="1"/>
        <v>333.46</v>
      </c>
    </row>
    <row r="70" spans="1:10">
      <c r="A70" s="2"/>
      <c r="B70" s="2"/>
      <c r="C70" s="2"/>
      <c r="D70" s="12"/>
      <c r="E70" s="2"/>
      <c r="F70" s="101">
        <v>502149</v>
      </c>
      <c r="G70" s="121" t="s">
        <v>154</v>
      </c>
      <c r="H70" s="100">
        <v>163.63999999999999</v>
      </c>
      <c r="I70" s="100"/>
      <c r="J70" s="117">
        <f t="shared" si="1"/>
        <v>163.63999999999999</v>
      </c>
    </row>
    <row r="71" spans="1:10">
      <c r="A71" s="2"/>
      <c r="B71" s="2"/>
      <c r="C71" s="2"/>
      <c r="D71" s="12"/>
      <c r="E71" s="2"/>
      <c r="F71" s="101">
        <v>502150</v>
      </c>
      <c r="G71" s="121" t="s">
        <v>89</v>
      </c>
      <c r="H71" s="100">
        <v>318.45999999999998</v>
      </c>
      <c r="I71" s="100"/>
      <c r="J71" s="117">
        <f t="shared" si="1"/>
        <v>318.45999999999998</v>
      </c>
    </row>
    <row r="72" spans="1:10">
      <c r="A72" s="2"/>
      <c r="B72" s="2"/>
      <c r="C72" s="2"/>
      <c r="D72" s="12"/>
      <c r="E72" s="2"/>
      <c r="F72" s="101">
        <v>502151</v>
      </c>
      <c r="G72" s="121" t="s">
        <v>4</v>
      </c>
      <c r="H72" s="100">
        <v>120.4</v>
      </c>
      <c r="I72" s="100"/>
      <c r="J72" s="117">
        <f t="shared" ref="J72:J93" si="2">H72+I72</f>
        <v>120.4</v>
      </c>
    </row>
    <row r="73" spans="1:10">
      <c r="A73" s="2"/>
      <c r="B73" s="2"/>
      <c r="C73" s="2"/>
      <c r="D73" s="12"/>
      <c r="E73" s="2"/>
      <c r="F73" s="103">
        <v>502152</v>
      </c>
      <c r="G73" s="2" t="s">
        <v>4</v>
      </c>
      <c r="H73" s="111">
        <v>58.2</v>
      </c>
      <c r="I73" s="100"/>
      <c r="J73" s="117">
        <f t="shared" si="2"/>
        <v>58.2</v>
      </c>
    </row>
    <row r="74" spans="1:10">
      <c r="A74" s="2"/>
      <c r="B74" s="2"/>
      <c r="C74" s="2"/>
      <c r="D74" s="12"/>
      <c r="E74" s="2"/>
      <c r="F74" s="103">
        <v>502153</v>
      </c>
      <c r="G74" s="2" t="s">
        <v>117</v>
      </c>
      <c r="H74" s="111">
        <v>124.14</v>
      </c>
      <c r="I74" s="100"/>
      <c r="J74" s="117">
        <f t="shared" si="2"/>
        <v>124.14</v>
      </c>
    </row>
    <row r="75" spans="1:10">
      <c r="A75" s="2"/>
      <c r="B75" s="2"/>
      <c r="C75" s="2"/>
      <c r="D75" s="12"/>
      <c r="E75" s="2"/>
      <c r="F75" s="103">
        <v>502154</v>
      </c>
      <c r="G75" s="2" t="s">
        <v>89</v>
      </c>
      <c r="H75" s="111">
        <v>383.86</v>
      </c>
      <c r="I75" s="100"/>
      <c r="J75" s="117">
        <f t="shared" si="2"/>
        <v>383.86</v>
      </c>
    </row>
    <row r="76" spans="1:10">
      <c r="A76" s="2"/>
      <c r="B76" s="2"/>
      <c r="C76" s="2"/>
      <c r="D76" s="12"/>
      <c r="E76" s="2"/>
      <c r="F76" s="103">
        <v>502155</v>
      </c>
      <c r="G76" s="2" t="s">
        <v>117</v>
      </c>
      <c r="H76" s="111">
        <v>164.14</v>
      </c>
      <c r="I76" s="100"/>
      <c r="J76" s="128">
        <f t="shared" si="2"/>
        <v>164.14</v>
      </c>
    </row>
    <row r="77" spans="1:10">
      <c r="A77" s="2"/>
      <c r="B77" s="2"/>
      <c r="C77" s="2"/>
      <c r="D77" s="12"/>
      <c r="E77" s="2"/>
      <c r="F77" s="11">
        <v>502156</v>
      </c>
      <c r="G77" s="2" t="s">
        <v>89</v>
      </c>
      <c r="H77" s="111">
        <v>369.06</v>
      </c>
      <c r="I77" s="100"/>
      <c r="J77" s="117">
        <f t="shared" si="2"/>
        <v>369.06</v>
      </c>
    </row>
    <row r="78" spans="1:10">
      <c r="A78" s="2"/>
      <c r="B78" s="2"/>
      <c r="C78" s="2"/>
      <c r="D78" s="12"/>
      <c r="E78" s="2"/>
      <c r="F78" s="11">
        <v>502157</v>
      </c>
      <c r="G78" s="2" t="s">
        <v>149</v>
      </c>
      <c r="H78" s="111">
        <v>285</v>
      </c>
      <c r="I78" s="100"/>
      <c r="J78" s="117">
        <f t="shared" si="2"/>
        <v>285</v>
      </c>
    </row>
    <row r="79" spans="1:10">
      <c r="A79" s="2"/>
      <c r="B79" s="2"/>
      <c r="C79" s="2"/>
      <c r="D79" s="12"/>
      <c r="E79" s="2"/>
      <c r="F79" s="11">
        <v>502158</v>
      </c>
      <c r="G79" s="2" t="s">
        <v>138</v>
      </c>
      <c r="H79" s="111">
        <v>455</v>
      </c>
      <c r="I79" s="100"/>
      <c r="J79" s="117">
        <f t="shared" si="2"/>
        <v>455</v>
      </c>
    </row>
    <row r="80" spans="1:10">
      <c r="A80" s="2"/>
      <c r="B80" s="2"/>
      <c r="C80" s="2"/>
      <c r="D80" s="12"/>
      <c r="E80" s="2"/>
      <c r="F80" s="11">
        <v>502159</v>
      </c>
      <c r="G80" s="2" t="s">
        <v>4</v>
      </c>
      <c r="H80" s="100">
        <v>29.2</v>
      </c>
      <c r="I80" s="100"/>
      <c r="J80" s="128">
        <f t="shared" si="2"/>
        <v>29.2</v>
      </c>
    </row>
    <row r="81" spans="1:10">
      <c r="A81" s="2"/>
      <c r="B81" s="2"/>
      <c r="C81" s="2"/>
      <c r="D81" s="12"/>
      <c r="E81" s="2"/>
      <c r="F81" s="11">
        <v>502160</v>
      </c>
      <c r="G81" s="2" t="s">
        <v>117</v>
      </c>
      <c r="H81" s="101">
        <v>124.14</v>
      </c>
      <c r="I81" s="101"/>
      <c r="J81" s="127">
        <f t="shared" si="2"/>
        <v>124.14</v>
      </c>
    </row>
    <row r="82" spans="1:10">
      <c r="A82" s="2"/>
      <c r="B82" s="2"/>
      <c r="C82" s="2"/>
      <c r="D82" s="12"/>
      <c r="E82" s="2"/>
      <c r="F82" s="11">
        <v>502161</v>
      </c>
      <c r="G82" s="2" t="s">
        <v>89</v>
      </c>
      <c r="H82" s="112">
        <v>398.86</v>
      </c>
      <c r="I82" s="101"/>
      <c r="J82" s="127">
        <f t="shared" si="2"/>
        <v>398.86</v>
      </c>
    </row>
    <row r="83" spans="1:10">
      <c r="A83" s="2"/>
      <c r="B83" s="2"/>
      <c r="C83" s="2"/>
      <c r="D83" s="12"/>
      <c r="E83" s="2"/>
      <c r="F83" s="101">
        <v>502162</v>
      </c>
      <c r="G83" s="121" t="s">
        <v>155</v>
      </c>
      <c r="H83" s="100">
        <v>50</v>
      </c>
      <c r="I83" s="100">
        <v>10</v>
      </c>
      <c r="J83" s="128">
        <f t="shared" si="2"/>
        <v>60</v>
      </c>
    </row>
    <row r="84" spans="1:10">
      <c r="A84" s="2"/>
      <c r="B84" s="2"/>
      <c r="C84" s="2"/>
      <c r="D84" s="12"/>
      <c r="E84" s="2"/>
      <c r="F84" s="101">
        <v>502163</v>
      </c>
      <c r="G84" s="121" t="s">
        <v>89</v>
      </c>
      <c r="H84" s="100">
        <v>348.46</v>
      </c>
      <c r="I84" s="100"/>
      <c r="J84" s="128">
        <f t="shared" si="2"/>
        <v>348.46</v>
      </c>
    </row>
    <row r="85" spans="1:10">
      <c r="A85" s="2"/>
      <c r="B85" s="2"/>
      <c r="C85" s="2"/>
      <c r="D85" s="12"/>
      <c r="E85" s="2"/>
      <c r="F85" s="101">
        <v>502164</v>
      </c>
      <c r="G85" s="121" t="s">
        <v>4</v>
      </c>
      <c r="H85" s="100">
        <v>110.6</v>
      </c>
      <c r="I85" s="100"/>
      <c r="J85" s="128">
        <f t="shared" si="2"/>
        <v>110.6</v>
      </c>
    </row>
    <row r="86" spans="1:10">
      <c r="A86" s="2"/>
      <c r="B86" s="2"/>
      <c r="C86" s="2"/>
      <c r="D86" s="12"/>
      <c r="E86" s="2"/>
      <c r="F86" s="101">
        <v>502165</v>
      </c>
      <c r="G86" s="121" t="s">
        <v>154</v>
      </c>
      <c r="H86" s="100">
        <v>123.44</v>
      </c>
      <c r="I86" s="100"/>
      <c r="J86" s="128">
        <f t="shared" si="2"/>
        <v>123.44</v>
      </c>
    </row>
    <row r="87" spans="1:10">
      <c r="A87" s="2"/>
      <c r="B87" s="2"/>
      <c r="C87" s="2"/>
      <c r="D87" s="12"/>
      <c r="E87" s="2"/>
      <c r="F87" s="101">
        <v>502166</v>
      </c>
      <c r="G87" s="121" t="s">
        <v>157</v>
      </c>
      <c r="H87" s="100">
        <v>1145</v>
      </c>
      <c r="I87" s="100">
        <f>1374/120*20</f>
        <v>229</v>
      </c>
      <c r="J87" s="128">
        <f t="shared" si="2"/>
        <v>1374</v>
      </c>
    </row>
    <row r="88" spans="1:10">
      <c r="A88" s="2"/>
      <c r="B88" s="2"/>
      <c r="C88" s="2"/>
      <c r="D88" s="12"/>
      <c r="E88" s="2"/>
      <c r="F88" s="11">
        <v>502167</v>
      </c>
      <c r="G88" s="2" t="s">
        <v>117</v>
      </c>
      <c r="H88" s="101">
        <v>124.14</v>
      </c>
      <c r="I88" s="101"/>
      <c r="J88" s="128">
        <f t="shared" si="2"/>
        <v>124.14</v>
      </c>
    </row>
    <row r="89" spans="1:10">
      <c r="A89" s="2"/>
      <c r="B89" s="2"/>
      <c r="C89" s="2"/>
      <c r="D89" s="12"/>
      <c r="E89" s="2"/>
      <c r="F89" s="11">
        <v>502168</v>
      </c>
      <c r="G89" s="2" t="s">
        <v>4</v>
      </c>
      <c r="H89" s="100">
        <v>29.2</v>
      </c>
      <c r="I89" s="100"/>
      <c r="J89" s="128">
        <f t="shared" si="2"/>
        <v>29.2</v>
      </c>
    </row>
    <row r="90" spans="1:10">
      <c r="A90" s="2"/>
      <c r="B90" s="2"/>
      <c r="C90" s="2"/>
      <c r="D90" s="12"/>
      <c r="E90" s="2"/>
      <c r="F90" s="11">
        <v>502169</v>
      </c>
      <c r="G90" s="2" t="s">
        <v>129</v>
      </c>
      <c r="H90" s="100">
        <v>85.95</v>
      </c>
      <c r="I90" s="100">
        <v>17.190000000000001</v>
      </c>
      <c r="J90" s="128">
        <f t="shared" si="2"/>
        <v>103.14</v>
      </c>
    </row>
    <row r="91" spans="1:10">
      <c r="A91" s="2"/>
      <c r="B91" s="2"/>
      <c r="C91" s="2"/>
      <c r="D91" s="12"/>
      <c r="E91" s="2"/>
      <c r="F91" s="123">
        <v>502170</v>
      </c>
      <c r="G91" s="124" t="s">
        <v>10</v>
      </c>
      <c r="H91" s="100">
        <v>40</v>
      </c>
      <c r="I91" s="100"/>
      <c r="J91" s="128">
        <f t="shared" si="2"/>
        <v>40</v>
      </c>
    </row>
    <row r="92" spans="1:10">
      <c r="A92" s="2"/>
      <c r="B92" s="2"/>
      <c r="C92" s="2"/>
      <c r="D92" s="12"/>
      <c r="E92" s="2"/>
      <c r="F92" s="11">
        <v>502171</v>
      </c>
      <c r="G92" s="2" t="s">
        <v>89</v>
      </c>
      <c r="H92" s="101">
        <v>383.86</v>
      </c>
      <c r="I92" s="101"/>
      <c r="J92" s="127">
        <f t="shared" si="2"/>
        <v>383.86</v>
      </c>
    </row>
    <row r="93" spans="1:10">
      <c r="A93" s="2"/>
      <c r="B93" s="2"/>
      <c r="C93" s="2"/>
      <c r="D93" s="12"/>
      <c r="E93" s="2"/>
      <c r="F93" s="11">
        <v>502172</v>
      </c>
      <c r="G93" s="2" t="s">
        <v>150</v>
      </c>
      <c r="H93" s="100">
        <f>3.12+6.48+8.22</f>
        <v>17.82</v>
      </c>
      <c r="I93" s="101">
        <f>0.63+1.3+1.65</f>
        <v>3.58</v>
      </c>
      <c r="J93" s="128">
        <f t="shared" si="2"/>
        <v>21.4</v>
      </c>
    </row>
    <row r="94" spans="1:10">
      <c r="A94" s="2"/>
      <c r="B94" s="2"/>
      <c r="C94" s="2"/>
      <c r="D94" s="12"/>
      <c r="E94" s="2"/>
      <c r="F94" s="101">
        <v>502173</v>
      </c>
      <c r="G94" s="121" t="s">
        <v>4</v>
      </c>
      <c r="H94" s="100">
        <v>110.4</v>
      </c>
      <c r="I94" s="100"/>
      <c r="J94" s="128">
        <v>110.4</v>
      </c>
    </row>
    <row r="95" spans="1:10">
      <c r="A95" s="2"/>
      <c r="B95" s="2"/>
      <c r="C95" s="2"/>
      <c r="D95" s="12"/>
      <c r="E95" s="2"/>
      <c r="F95" s="101">
        <v>502174</v>
      </c>
      <c r="G95" s="121" t="s">
        <v>154</v>
      </c>
      <c r="H95" s="100">
        <v>123.64</v>
      </c>
      <c r="I95" s="100"/>
      <c r="J95" s="128">
        <v>123.64</v>
      </c>
    </row>
    <row r="96" spans="1:10">
      <c r="A96" s="2"/>
      <c r="B96" s="2"/>
      <c r="C96" s="2"/>
      <c r="D96" s="12"/>
      <c r="E96" s="2"/>
      <c r="F96" s="101">
        <v>502175</v>
      </c>
      <c r="G96" s="121" t="s">
        <v>155</v>
      </c>
      <c r="H96" s="100">
        <v>50</v>
      </c>
      <c r="I96" s="100">
        <v>10</v>
      </c>
      <c r="J96" s="128">
        <v>60</v>
      </c>
    </row>
    <row r="97" spans="1:14">
      <c r="A97" s="2"/>
      <c r="B97" s="2"/>
      <c r="C97" s="2"/>
      <c r="D97" s="12"/>
      <c r="E97" s="2"/>
      <c r="F97" s="101">
        <v>502176</v>
      </c>
      <c r="G97" s="121" t="s">
        <v>89</v>
      </c>
      <c r="H97" s="100">
        <v>333.46</v>
      </c>
      <c r="I97" s="100"/>
      <c r="J97" s="128">
        <v>333.46</v>
      </c>
    </row>
    <row r="98" spans="1:14">
      <c r="A98" s="2"/>
      <c r="B98" s="2"/>
      <c r="C98" s="2"/>
      <c r="D98" s="12"/>
      <c r="E98" s="2"/>
      <c r="F98" s="101">
        <v>502177</v>
      </c>
      <c r="G98" s="121" t="s">
        <v>154</v>
      </c>
      <c r="H98" s="100">
        <v>123.44</v>
      </c>
      <c r="I98" s="100"/>
      <c r="J98" s="100">
        <v>123.44</v>
      </c>
    </row>
    <row r="99" spans="1:14">
      <c r="A99" s="2"/>
      <c r="B99" s="2"/>
      <c r="C99" s="2"/>
      <c r="D99" s="12"/>
      <c r="E99" s="2"/>
      <c r="F99" s="101">
        <v>502178</v>
      </c>
      <c r="G99" s="121" t="s">
        <v>4</v>
      </c>
      <c r="H99" s="100">
        <v>130.6</v>
      </c>
      <c r="I99" s="100"/>
      <c r="J99" s="128">
        <v>130.6</v>
      </c>
    </row>
    <row r="100" spans="1:14">
      <c r="A100" s="2"/>
      <c r="B100" s="2"/>
      <c r="C100" s="2"/>
      <c r="D100" s="12"/>
      <c r="E100" s="2"/>
      <c r="F100" s="101">
        <v>502179</v>
      </c>
      <c r="G100" s="121" t="s">
        <v>155</v>
      </c>
      <c r="H100" s="100">
        <v>60</v>
      </c>
      <c r="I100" s="100"/>
      <c r="J100" s="100">
        <v>60</v>
      </c>
    </row>
    <row r="101" spans="1:14">
      <c r="A101" s="2"/>
      <c r="B101" s="2"/>
      <c r="C101" s="2"/>
      <c r="D101" s="12"/>
      <c r="E101" s="2"/>
      <c r="F101" s="101">
        <v>502180</v>
      </c>
      <c r="G101" s="121" t="s">
        <v>89</v>
      </c>
      <c r="H101" s="100">
        <v>413.56</v>
      </c>
      <c r="I101" s="100"/>
      <c r="J101" s="128">
        <v>413.56</v>
      </c>
    </row>
    <row r="102" spans="1:14">
      <c r="A102" s="2"/>
      <c r="B102" s="2"/>
      <c r="C102" s="2"/>
      <c r="D102" s="12"/>
      <c r="E102" s="2"/>
      <c r="F102" s="101">
        <v>502181</v>
      </c>
      <c r="G102" s="121" t="s">
        <v>89</v>
      </c>
      <c r="H102" s="100">
        <v>112.52</v>
      </c>
      <c r="I102" s="100"/>
      <c r="J102" s="128">
        <v>112.52</v>
      </c>
    </row>
    <row r="103" spans="1:14">
      <c r="A103" s="2"/>
      <c r="B103" s="2"/>
      <c r="C103" s="2"/>
      <c r="D103" s="12"/>
      <c r="E103" s="2"/>
      <c r="F103" s="11">
        <v>502182</v>
      </c>
      <c r="G103" s="2" t="s">
        <v>4</v>
      </c>
      <c r="H103" s="100">
        <v>49.6</v>
      </c>
      <c r="I103" s="101"/>
      <c r="J103" s="128">
        <f>H103+I103</f>
        <v>49.6</v>
      </c>
    </row>
    <row r="104" spans="1:14">
      <c r="A104" s="2"/>
      <c r="B104" s="2"/>
      <c r="C104" s="2"/>
      <c r="D104" s="12"/>
      <c r="E104" s="2"/>
      <c r="F104" s="11">
        <v>502183</v>
      </c>
      <c r="G104" s="2" t="s">
        <v>117</v>
      </c>
      <c r="H104" s="101">
        <v>124.14</v>
      </c>
      <c r="I104" s="101"/>
      <c r="J104" s="100">
        <f>H104+I104</f>
        <v>124.14</v>
      </c>
    </row>
    <row r="105" spans="1:14">
      <c r="A105" s="2"/>
      <c r="B105" s="2"/>
      <c r="C105" s="2"/>
      <c r="D105" s="12"/>
      <c r="E105" s="2"/>
      <c r="F105" s="11">
        <v>502184</v>
      </c>
      <c r="G105" s="2" t="s">
        <v>89</v>
      </c>
      <c r="H105" s="101">
        <v>466.42</v>
      </c>
      <c r="I105" s="101"/>
      <c r="J105" s="128">
        <f>H105+I105</f>
        <v>466.42</v>
      </c>
    </row>
    <row r="106" spans="1:14">
      <c r="A106" s="2"/>
      <c r="B106" s="2"/>
      <c r="C106" s="2"/>
      <c r="D106" s="12"/>
      <c r="E106" s="2"/>
      <c r="F106" s="11">
        <v>502185</v>
      </c>
      <c r="G106" s="2" t="s">
        <v>89</v>
      </c>
      <c r="H106" s="101">
        <v>136.68</v>
      </c>
      <c r="I106" s="101"/>
      <c r="J106" s="128">
        <v>136.68</v>
      </c>
    </row>
    <row r="107" spans="1:14">
      <c r="A107" s="2"/>
      <c r="B107" s="2"/>
      <c r="C107" s="2"/>
      <c r="D107" s="12"/>
      <c r="E107" s="2"/>
      <c r="F107" s="11">
        <v>502186</v>
      </c>
      <c r="G107" s="2" t="s">
        <v>151</v>
      </c>
      <c r="H107" s="100">
        <v>900</v>
      </c>
      <c r="I107" s="101"/>
      <c r="J107" s="128">
        <f>H107+I107</f>
        <v>900</v>
      </c>
    </row>
    <row r="108" spans="1:14">
      <c r="A108" s="2"/>
      <c r="B108" s="2"/>
      <c r="C108" s="2"/>
      <c r="D108" s="94">
        <f>SUM(D3:D14)</f>
        <v>46111.01</v>
      </c>
      <c r="E108" s="2"/>
      <c r="F108" s="11"/>
      <c r="G108" s="2"/>
      <c r="H108" s="101"/>
      <c r="I108" s="101"/>
      <c r="J108" s="101"/>
    </row>
    <row r="109" spans="1:14">
      <c r="A109" s="2"/>
      <c r="B109" s="2"/>
      <c r="C109" s="2"/>
      <c r="D109" s="69"/>
      <c r="E109" s="2"/>
      <c r="F109" s="11"/>
      <c r="G109" s="67"/>
      <c r="H109" s="94">
        <f>SUM(H2:H107)</f>
        <v>34200.739999999991</v>
      </c>
      <c r="I109" s="94">
        <f>SUM(I2:I107)</f>
        <v>1059.8333333333333</v>
      </c>
      <c r="J109" s="15">
        <f>H109+I109</f>
        <v>35260.573333333326</v>
      </c>
    </row>
    <row r="110" spans="1:14">
      <c r="A110" s="2"/>
      <c r="B110" s="2"/>
      <c r="C110" s="2"/>
      <c r="D110" s="11"/>
      <c r="E110" s="2"/>
      <c r="F110" s="11"/>
      <c r="G110" s="67"/>
      <c r="H110" s="94"/>
      <c r="I110" s="11"/>
      <c r="J110" s="11"/>
      <c r="L110">
        <f>33759.11+3700.66</f>
        <v>37459.770000000004</v>
      </c>
      <c r="N110">
        <v>123.44</v>
      </c>
    </row>
    <row r="111" spans="1:14">
      <c r="A111" s="2"/>
      <c r="B111" s="2"/>
      <c r="C111" s="2"/>
      <c r="D111" s="94">
        <f>D108+D2</f>
        <v>77613.2</v>
      </c>
      <c r="E111" s="2"/>
      <c r="F111" s="11"/>
      <c r="G111" s="69" t="s">
        <v>11</v>
      </c>
      <c r="H111" s="11"/>
      <c r="I111" s="11"/>
      <c r="J111" s="94">
        <f>D111-J109</f>
        <v>42352.626666666671</v>
      </c>
      <c r="N111">
        <v>60</v>
      </c>
    </row>
    <row r="112" spans="1:14">
      <c r="F112" s="11"/>
      <c r="G112" s="69"/>
      <c r="H112" s="11"/>
      <c r="I112" s="11"/>
      <c r="J112" s="94">
        <f>J109+J111</f>
        <v>77613.2</v>
      </c>
      <c r="L112">
        <v>123.44</v>
      </c>
      <c r="N112">
        <v>124.14</v>
      </c>
    </row>
    <row r="113" spans="12:12">
      <c r="L113">
        <v>60</v>
      </c>
    </row>
    <row r="114" spans="12:12">
      <c r="L114">
        <v>124.14</v>
      </c>
    </row>
    <row r="116" spans="12:12">
      <c r="L116">
        <f>L110-L112-L113-L114</f>
        <v>37152.19</v>
      </c>
    </row>
  </sheetData>
  <sortState ref="F2:J106">
    <sortCondition ref="F2:F106"/>
  </sortState>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K40"/>
  <sheetViews>
    <sheetView workbookViewId="0">
      <selection activeCell="I38" sqref="G38:I38"/>
    </sheetView>
  </sheetViews>
  <sheetFormatPr defaultRowHeight="15"/>
  <cols>
    <col min="1" max="1" width="38" bestFit="1" customWidth="1"/>
    <col min="5" max="5" width="10.5703125" bestFit="1" customWidth="1"/>
    <col min="9" max="9" width="43.7109375" bestFit="1" customWidth="1"/>
  </cols>
  <sheetData>
    <row r="1" spans="1:9">
      <c r="A1" s="62"/>
      <c r="B1" s="63" t="s">
        <v>94</v>
      </c>
      <c r="C1" s="63"/>
      <c r="D1" s="63"/>
      <c r="E1" s="63"/>
      <c r="F1" s="63" t="s">
        <v>167</v>
      </c>
      <c r="G1" s="63" t="s">
        <v>168</v>
      </c>
      <c r="H1" s="63" t="s">
        <v>169</v>
      </c>
      <c r="I1" s="64" t="s">
        <v>58</v>
      </c>
    </row>
    <row r="2" spans="1:9">
      <c r="A2" s="62"/>
      <c r="B2" s="65" t="s">
        <v>59</v>
      </c>
      <c r="C2" s="65" t="s">
        <v>124</v>
      </c>
      <c r="D2" s="65" t="s">
        <v>158</v>
      </c>
      <c r="E2" s="65" t="s">
        <v>165</v>
      </c>
      <c r="F2" s="65" t="s">
        <v>163</v>
      </c>
      <c r="G2" s="65"/>
      <c r="H2" s="65"/>
      <c r="I2" s="66"/>
    </row>
    <row r="3" spans="1:9" ht="45">
      <c r="A3" s="94" t="s">
        <v>159</v>
      </c>
      <c r="B3" s="94">
        <v>480</v>
      </c>
      <c r="C3" s="94">
        <v>480</v>
      </c>
      <c r="D3" s="94">
        <v>480</v>
      </c>
      <c r="E3" s="94">
        <v>480</v>
      </c>
      <c r="F3" s="175">
        <v>480</v>
      </c>
      <c r="G3" s="175">
        <v>480</v>
      </c>
      <c r="H3" s="175">
        <v>480</v>
      </c>
      <c r="I3" s="70" t="s">
        <v>187</v>
      </c>
    </row>
    <row r="4" spans="1:9">
      <c r="A4" s="94" t="s">
        <v>160</v>
      </c>
      <c r="B4" s="94">
        <v>120</v>
      </c>
      <c r="C4" s="94">
        <v>120</v>
      </c>
      <c r="D4" s="94">
        <v>120</v>
      </c>
      <c r="E4" s="95">
        <v>120</v>
      </c>
      <c r="F4" s="176">
        <v>120</v>
      </c>
      <c r="G4" s="176">
        <v>120</v>
      </c>
      <c r="H4" s="176">
        <v>120</v>
      </c>
      <c r="I4" s="182" t="s">
        <v>161</v>
      </c>
    </row>
    <row r="5" spans="1:9">
      <c r="A5" s="67" t="s">
        <v>97</v>
      </c>
      <c r="B5" s="94">
        <f>1327/10+1327</f>
        <v>1459.7</v>
      </c>
      <c r="C5" s="94">
        <v>1489.7</v>
      </c>
      <c r="D5" s="94">
        <v>1522</v>
      </c>
      <c r="E5" s="94">
        <f>'Budget over Expenditure 23-24'!C5*12</f>
        <v>1784.6399999999999</v>
      </c>
      <c r="F5" s="175">
        <v>1580</v>
      </c>
      <c r="G5" s="175">
        <v>1580</v>
      </c>
      <c r="H5" s="175">
        <v>1580</v>
      </c>
      <c r="I5" s="66" t="s">
        <v>98</v>
      </c>
    </row>
    <row r="6" spans="1:9">
      <c r="A6" s="69" t="s">
        <v>60</v>
      </c>
      <c r="B6" s="94">
        <v>180</v>
      </c>
      <c r="C6" s="94">
        <v>180</v>
      </c>
      <c r="D6" s="94">
        <v>180</v>
      </c>
      <c r="E6" s="94">
        <v>180</v>
      </c>
      <c r="F6" s="175">
        <v>216</v>
      </c>
      <c r="G6" s="175">
        <f>18*12</f>
        <v>216</v>
      </c>
      <c r="H6" s="175">
        <v>216</v>
      </c>
      <c r="I6" s="66" t="s">
        <v>164</v>
      </c>
    </row>
    <row r="7" spans="1:9">
      <c r="A7" s="69" t="s">
        <v>4</v>
      </c>
      <c r="B7" s="94">
        <v>400</v>
      </c>
      <c r="C7" s="94">
        <v>400</v>
      </c>
      <c r="D7" s="94">
        <v>400</v>
      </c>
      <c r="E7" s="94">
        <f>'Budget over Expenditure 23-24'!D7*12</f>
        <v>888</v>
      </c>
      <c r="F7" s="175">
        <v>450</v>
      </c>
      <c r="G7" s="175">
        <v>450</v>
      </c>
      <c r="H7" s="175">
        <v>450</v>
      </c>
      <c r="I7" s="66"/>
    </row>
    <row r="8" spans="1:9">
      <c r="A8" s="69" t="s">
        <v>6</v>
      </c>
      <c r="B8" s="94">
        <v>60</v>
      </c>
      <c r="C8" s="94">
        <v>70</v>
      </c>
      <c r="D8" s="142">
        <v>70</v>
      </c>
      <c r="E8" s="142">
        <v>60</v>
      </c>
      <c r="F8" s="175">
        <v>60</v>
      </c>
      <c r="G8" s="175">
        <v>60</v>
      </c>
      <c r="H8" s="175">
        <v>60</v>
      </c>
      <c r="I8" s="66" t="s">
        <v>99</v>
      </c>
    </row>
    <row r="9" spans="1:9" ht="30">
      <c r="A9" s="67" t="s">
        <v>62</v>
      </c>
      <c r="B9" s="94">
        <f>6*52*14.76+11*5.85</f>
        <v>4669.47</v>
      </c>
      <c r="C9" s="94">
        <f>B9+93.39</f>
        <v>4762.8600000000006</v>
      </c>
      <c r="D9" s="2">
        <v>4844.1899999999996</v>
      </c>
      <c r="E9" s="93">
        <f>'Budget over Expenditure 23-24'!D9*12</f>
        <v>3548.16</v>
      </c>
      <c r="F9" s="177">
        <v>5122</v>
      </c>
      <c r="G9" s="177">
        <f>F9</f>
        <v>5122</v>
      </c>
      <c r="H9" s="177">
        <f>G9</f>
        <v>5122</v>
      </c>
      <c r="I9" s="70" t="s">
        <v>186</v>
      </c>
    </row>
    <row r="10" spans="1:9" ht="30">
      <c r="A10" s="67" t="s">
        <v>7</v>
      </c>
      <c r="B10" s="94">
        <v>500</v>
      </c>
      <c r="C10" s="94">
        <v>600</v>
      </c>
      <c r="D10" s="94">
        <v>600</v>
      </c>
      <c r="E10" s="94">
        <f>'Budget over Expenditure 23-24'!D10</f>
        <v>0</v>
      </c>
      <c r="F10" s="175">
        <v>400</v>
      </c>
      <c r="G10" s="175">
        <v>400</v>
      </c>
      <c r="H10" s="175">
        <v>400</v>
      </c>
      <c r="I10" s="70" t="s">
        <v>170</v>
      </c>
    </row>
    <row r="11" spans="1:9">
      <c r="A11" s="67" t="s">
        <v>102</v>
      </c>
      <c r="B11" s="95">
        <v>8720</v>
      </c>
      <c r="C11" s="95">
        <v>9000</v>
      </c>
      <c r="D11" s="94">
        <v>9500</v>
      </c>
      <c r="E11" s="94">
        <f>5000+3520</f>
        <v>8520</v>
      </c>
      <c r="F11" s="175">
        <v>8500</v>
      </c>
      <c r="G11" s="175">
        <v>8500</v>
      </c>
      <c r="H11" s="175">
        <v>8500</v>
      </c>
      <c r="I11" s="66" t="s">
        <v>126</v>
      </c>
    </row>
    <row r="12" spans="1:9">
      <c r="A12" s="67" t="s">
        <v>51</v>
      </c>
      <c r="B12" s="95">
        <v>60</v>
      </c>
      <c r="C12" s="95">
        <v>65</v>
      </c>
      <c r="D12" s="94">
        <v>65</v>
      </c>
      <c r="E12" s="172">
        <v>0</v>
      </c>
      <c r="F12" s="175">
        <v>0</v>
      </c>
      <c r="G12" s="175">
        <v>0</v>
      </c>
      <c r="H12" s="175">
        <v>65</v>
      </c>
      <c r="I12" s="66" t="s">
        <v>101</v>
      </c>
    </row>
    <row r="13" spans="1:9">
      <c r="A13" s="67" t="s">
        <v>104</v>
      </c>
      <c r="B13" s="95">
        <v>10</v>
      </c>
      <c r="C13" s="95">
        <v>10</v>
      </c>
      <c r="D13" s="142">
        <v>10</v>
      </c>
      <c r="E13" s="173">
        <v>0</v>
      </c>
      <c r="F13" s="175">
        <v>0</v>
      </c>
      <c r="G13" s="175">
        <v>0</v>
      </c>
      <c r="H13" s="175">
        <v>10</v>
      </c>
      <c r="I13" s="66"/>
    </row>
    <row r="14" spans="1:9" ht="45">
      <c r="A14" s="67" t="s">
        <v>9</v>
      </c>
      <c r="B14" s="94">
        <v>550</v>
      </c>
      <c r="C14" s="94">
        <v>600</v>
      </c>
      <c r="D14" s="94">
        <v>630</v>
      </c>
      <c r="E14" s="94">
        <f>'Budget over Expenditure 23-24'!E12</f>
        <v>0</v>
      </c>
      <c r="F14" s="175">
        <v>630</v>
      </c>
      <c r="G14" s="175">
        <v>630</v>
      </c>
      <c r="H14" s="175">
        <v>630</v>
      </c>
      <c r="I14" s="70" t="s">
        <v>105</v>
      </c>
    </row>
    <row r="15" spans="1:9">
      <c r="A15" s="62" t="s">
        <v>106</v>
      </c>
      <c r="B15" s="96">
        <v>3000</v>
      </c>
      <c r="C15" s="96">
        <v>3000</v>
      </c>
      <c r="D15" s="96">
        <v>3000</v>
      </c>
      <c r="E15" s="174">
        <v>3000</v>
      </c>
      <c r="F15" s="96">
        <v>1750</v>
      </c>
      <c r="G15" s="96">
        <v>2250</v>
      </c>
      <c r="H15" s="96">
        <v>2500</v>
      </c>
      <c r="I15" s="66" t="s">
        <v>107</v>
      </c>
    </row>
    <row r="16" spans="1:9" ht="60">
      <c r="A16" s="71" t="s">
        <v>108</v>
      </c>
      <c r="B16" s="96">
        <v>1600</v>
      </c>
      <c r="C16" s="96">
        <v>1800</v>
      </c>
      <c r="D16" s="96">
        <v>1500</v>
      </c>
      <c r="E16" s="96">
        <f>'Budget over Expenditure 23-24'!D14+'Budget over Expenditure 23-24'!E14</f>
        <v>0</v>
      </c>
      <c r="F16" s="96">
        <v>162</v>
      </c>
      <c r="G16" s="96">
        <v>137</v>
      </c>
      <c r="H16" s="96">
        <v>312</v>
      </c>
      <c r="I16" s="66"/>
    </row>
    <row r="17" spans="1:11">
      <c r="A17" s="62" t="s">
        <v>128</v>
      </c>
      <c r="B17" s="96">
        <v>100</v>
      </c>
      <c r="C17" s="96">
        <v>2007.44</v>
      </c>
      <c r="D17" s="96">
        <v>3073.81</v>
      </c>
      <c r="E17" s="96">
        <v>12454</v>
      </c>
      <c r="F17" s="96">
        <v>1000</v>
      </c>
      <c r="G17" s="96">
        <v>1500</v>
      </c>
      <c r="H17" s="96">
        <v>2000</v>
      </c>
      <c r="I17" s="66"/>
    </row>
    <row r="18" spans="1:11">
      <c r="A18" s="62" t="s">
        <v>111</v>
      </c>
      <c r="B18" s="96">
        <v>125</v>
      </c>
      <c r="C18" s="96">
        <v>125</v>
      </c>
      <c r="D18" s="96">
        <v>125</v>
      </c>
      <c r="E18" s="174">
        <v>0</v>
      </c>
      <c r="F18" s="96">
        <v>125</v>
      </c>
      <c r="G18" s="96">
        <v>200</v>
      </c>
      <c r="H18" s="96">
        <v>250</v>
      </c>
      <c r="I18" s="66" t="s">
        <v>112</v>
      </c>
    </row>
    <row r="19" spans="1:11">
      <c r="A19" s="62" t="s">
        <v>8</v>
      </c>
      <c r="B19" s="96">
        <v>480</v>
      </c>
      <c r="C19" s="96">
        <v>480</v>
      </c>
      <c r="D19" s="96">
        <v>480</v>
      </c>
      <c r="E19" s="96">
        <v>240</v>
      </c>
      <c r="F19" s="96">
        <v>240</v>
      </c>
      <c r="G19" s="96">
        <v>240</v>
      </c>
      <c r="H19" s="96">
        <v>240</v>
      </c>
      <c r="I19" s="66" t="s">
        <v>99</v>
      </c>
    </row>
    <row r="20" spans="1:11">
      <c r="A20" s="62" t="s">
        <v>127</v>
      </c>
      <c r="B20" s="96">
        <v>2000</v>
      </c>
      <c r="C20" s="96">
        <v>1000</v>
      </c>
      <c r="D20" s="96">
        <v>1000</v>
      </c>
      <c r="E20" s="96">
        <v>279.36</v>
      </c>
      <c r="F20" s="96">
        <v>250</v>
      </c>
      <c r="G20" s="96">
        <v>300</v>
      </c>
      <c r="H20" s="96">
        <v>350</v>
      </c>
      <c r="I20" s="66"/>
    </row>
    <row r="21" spans="1:11">
      <c r="A21" s="62" t="s">
        <v>63</v>
      </c>
      <c r="B21" s="96">
        <v>50</v>
      </c>
      <c r="C21" s="96">
        <v>50</v>
      </c>
      <c r="D21" s="96">
        <v>50</v>
      </c>
      <c r="E21" s="174">
        <v>50</v>
      </c>
      <c r="F21" s="96">
        <v>50</v>
      </c>
      <c r="G21" s="96">
        <v>50</v>
      </c>
      <c r="H21" s="96">
        <v>50</v>
      </c>
      <c r="I21" s="66"/>
    </row>
    <row r="22" spans="1:11">
      <c r="A22" s="62" t="s">
        <v>64</v>
      </c>
      <c r="B22" s="96">
        <v>1000</v>
      </c>
      <c r="C22" s="96">
        <v>100</v>
      </c>
      <c r="D22" s="96">
        <v>50</v>
      </c>
      <c r="E22" s="174">
        <v>15</v>
      </c>
      <c r="F22" s="96">
        <v>15</v>
      </c>
      <c r="G22" s="96">
        <v>15</v>
      </c>
      <c r="H22" s="96">
        <v>15</v>
      </c>
      <c r="I22" s="66"/>
    </row>
    <row r="23" spans="1:11">
      <c r="A23" s="146" t="s">
        <v>16</v>
      </c>
      <c r="B23" s="147">
        <f t="shared" ref="B23:H23" si="0">SUM(B3:B22)</f>
        <v>25564.17</v>
      </c>
      <c r="C23" s="147">
        <f t="shared" si="0"/>
        <v>26340</v>
      </c>
      <c r="D23" s="147">
        <f t="shared" si="0"/>
        <v>27700</v>
      </c>
      <c r="E23" s="147">
        <f t="shared" si="0"/>
        <v>31619.16</v>
      </c>
      <c r="F23" s="147">
        <f t="shared" si="0"/>
        <v>21150</v>
      </c>
      <c r="G23" s="147">
        <f t="shared" si="0"/>
        <v>22250</v>
      </c>
      <c r="H23" s="147">
        <f t="shared" si="0"/>
        <v>23350</v>
      </c>
      <c r="I23" s="148"/>
    </row>
    <row r="24" spans="1:11">
      <c r="A24" s="69"/>
      <c r="B24" s="68"/>
      <c r="C24" s="68"/>
      <c r="D24" s="68"/>
      <c r="E24" s="68"/>
      <c r="F24" s="68"/>
      <c r="G24" s="68"/>
      <c r="H24" s="68"/>
      <c r="I24" s="66"/>
    </row>
    <row r="25" spans="1:11">
      <c r="F25" s="183"/>
      <c r="G25" s="183"/>
      <c r="H25" s="183"/>
    </row>
    <row r="26" spans="1:11">
      <c r="A26" s="178" t="s">
        <v>171</v>
      </c>
    </row>
    <row r="27" spans="1:11">
      <c r="A27" s="178" t="s">
        <v>172</v>
      </c>
    </row>
    <row r="28" spans="1:11">
      <c r="A28" s="178" t="s">
        <v>173</v>
      </c>
    </row>
    <row r="30" spans="1:11">
      <c r="A30" s="178" t="s">
        <v>174</v>
      </c>
    </row>
    <row r="31" spans="1:11">
      <c r="A31" s="178" t="s">
        <v>185</v>
      </c>
    </row>
    <row r="32" spans="1:11" ht="30">
      <c r="A32" s="2"/>
      <c r="B32" s="2" t="s">
        <v>16</v>
      </c>
      <c r="C32" s="179" t="s">
        <v>175</v>
      </c>
      <c r="D32" s="2" t="s">
        <v>177</v>
      </c>
      <c r="E32" s="2" t="s">
        <v>179</v>
      </c>
      <c r="F32" s="2" t="s">
        <v>180</v>
      </c>
      <c r="G32" s="2" t="s">
        <v>178</v>
      </c>
      <c r="H32" s="2" t="s">
        <v>181</v>
      </c>
      <c r="I32" s="2" t="s">
        <v>182</v>
      </c>
      <c r="J32" s="2" t="s">
        <v>183</v>
      </c>
      <c r="K32" s="2" t="s">
        <v>184</v>
      </c>
    </row>
    <row r="33" spans="1:11">
      <c r="A33" s="2" t="s">
        <v>176</v>
      </c>
      <c r="B33" s="2">
        <v>27700</v>
      </c>
      <c r="C33" s="2">
        <v>651</v>
      </c>
      <c r="D33" s="171">
        <f>G33*6/9</f>
        <v>28.36661546338966</v>
      </c>
      <c r="E33" s="171">
        <f>G33*7/9</f>
        <v>33.094384707287936</v>
      </c>
      <c r="F33" s="171">
        <f>G33*8/9</f>
        <v>37.822153951186209</v>
      </c>
      <c r="G33" s="171">
        <f>B33/C33</f>
        <v>42.549923195084489</v>
      </c>
      <c r="H33" s="171">
        <f>G33*11/9</f>
        <v>52.005461682881041</v>
      </c>
      <c r="I33" s="171">
        <f>G33*13/9</f>
        <v>61.461000170677593</v>
      </c>
      <c r="J33" s="171">
        <f>G33*15/9</f>
        <v>70.916538658474153</v>
      </c>
      <c r="K33" s="171">
        <f>G33*18/9</f>
        <v>85.099846390168977</v>
      </c>
    </row>
    <row r="34" spans="1:11">
      <c r="A34" s="143" t="s">
        <v>167</v>
      </c>
      <c r="B34" s="171">
        <f>F23</f>
        <v>21150</v>
      </c>
      <c r="C34" s="2">
        <v>523</v>
      </c>
      <c r="D34" s="171">
        <f>G34*6/9</f>
        <v>26.95984703632887</v>
      </c>
      <c r="E34" s="171">
        <f>G34*7/9</f>
        <v>31.453154875717019</v>
      </c>
      <c r="F34" s="171">
        <f>G34*8/9</f>
        <v>35.946462715105163</v>
      </c>
      <c r="G34" s="171">
        <f>B34/C34</f>
        <v>40.439770554493307</v>
      </c>
      <c r="H34" s="171">
        <f>G34*11/9</f>
        <v>49.426386233269596</v>
      </c>
      <c r="I34" s="171">
        <f>G34*13/9</f>
        <v>58.413001912045893</v>
      </c>
      <c r="J34" s="171">
        <f>G34*15/9</f>
        <v>67.399617590822174</v>
      </c>
      <c r="K34" s="171">
        <f>G34*18/9</f>
        <v>80.879541108986615</v>
      </c>
    </row>
    <row r="35" spans="1:11">
      <c r="A35" s="2" t="s">
        <v>168</v>
      </c>
      <c r="B35" s="171">
        <f>G23</f>
        <v>22250</v>
      </c>
      <c r="C35" s="2">
        <v>523</v>
      </c>
      <c r="D35" s="171">
        <f>G35*6/9</f>
        <v>28.362014021669854</v>
      </c>
      <c r="E35" s="171">
        <f>G35*7/9</f>
        <v>33.089016358614828</v>
      </c>
      <c r="F35" s="171">
        <f>G35*8/9</f>
        <v>37.816018695559805</v>
      </c>
      <c r="G35" s="171">
        <f>B35/C35</f>
        <v>42.543021032504782</v>
      </c>
      <c r="H35" s="171">
        <f>G35*11/9</f>
        <v>51.997025706394737</v>
      </c>
      <c r="I35" s="171">
        <f>G35*13/9</f>
        <v>61.451030380284692</v>
      </c>
      <c r="J35" s="171">
        <f>G35*15/9</f>
        <v>70.905035054174633</v>
      </c>
      <c r="K35" s="171">
        <f>G35*18/9</f>
        <v>85.086042065009565</v>
      </c>
    </row>
    <row r="36" spans="1:11">
      <c r="A36" s="143" t="s">
        <v>169</v>
      </c>
      <c r="B36" s="171">
        <f>H23</f>
        <v>23350</v>
      </c>
      <c r="C36" s="2">
        <v>523</v>
      </c>
      <c r="D36" s="171">
        <f>G36*6/9</f>
        <v>29.764181007010833</v>
      </c>
      <c r="E36" s="171">
        <f>G36*7/9</f>
        <v>34.724877841512637</v>
      </c>
      <c r="F36" s="171">
        <f>G36*8/9</f>
        <v>39.685574676014447</v>
      </c>
      <c r="G36" s="171">
        <f>B36/C36</f>
        <v>44.64627151051625</v>
      </c>
      <c r="H36" s="171">
        <f>G36*11/9</f>
        <v>54.567665179519864</v>
      </c>
      <c r="I36" s="171">
        <f>G36*13/9</f>
        <v>64.489058848523484</v>
      </c>
      <c r="J36" s="171">
        <f>G36*15/9</f>
        <v>74.410452517527077</v>
      </c>
      <c r="K36" s="171">
        <f>G36*18/9</f>
        <v>89.2925430210325</v>
      </c>
    </row>
    <row r="38" spans="1:11">
      <c r="A38" s="178" t="s">
        <v>167</v>
      </c>
      <c r="B38" s="180">
        <v>4.9599999999999998E-2</v>
      </c>
      <c r="C38" s="184" t="s">
        <v>188</v>
      </c>
      <c r="D38" s="98"/>
      <c r="E38" s="98"/>
      <c r="F38" s="98"/>
      <c r="G38" s="98"/>
      <c r="H38" s="98"/>
      <c r="I38" s="98"/>
      <c r="J38" s="98"/>
      <c r="K38" s="98"/>
    </row>
    <row r="39" spans="1:11">
      <c r="A39" t="s">
        <v>168</v>
      </c>
      <c r="B39" s="181">
        <v>0</v>
      </c>
      <c r="C39" s="184" t="s">
        <v>189</v>
      </c>
      <c r="D39" s="98"/>
      <c r="E39" s="98"/>
      <c r="F39" s="98"/>
      <c r="G39" s="98"/>
      <c r="H39" s="98"/>
      <c r="I39" s="98"/>
      <c r="J39" s="98"/>
      <c r="K39" s="98"/>
    </row>
    <row r="40" spans="1:11">
      <c r="A40" s="178" t="s">
        <v>169</v>
      </c>
      <c r="B40" s="180">
        <v>4.9299999999999997E-2</v>
      </c>
      <c r="C40" s="184" t="s">
        <v>190</v>
      </c>
      <c r="D40" s="98"/>
      <c r="E40" s="98"/>
      <c r="F40" s="98"/>
      <c r="G40" s="98"/>
      <c r="H40" s="98"/>
      <c r="I40" s="98"/>
      <c r="J40" s="98"/>
      <c r="K40" s="98"/>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sheetPr>
    <pageSetUpPr fitToPage="1"/>
  </sheetPr>
  <dimension ref="A1:K34"/>
  <sheetViews>
    <sheetView topLeftCell="A13" workbookViewId="0">
      <selection activeCell="F2" sqref="F2:F23"/>
    </sheetView>
  </sheetViews>
  <sheetFormatPr defaultRowHeight="15"/>
  <cols>
    <col min="1" max="1" width="57.28515625" customWidth="1"/>
    <col min="2" max="2" width="12.140625" bestFit="1" customWidth="1"/>
    <col min="6" max="6" width="9.5703125" bestFit="1" customWidth="1"/>
    <col min="7" max="7" width="45.5703125" customWidth="1"/>
  </cols>
  <sheetData>
    <row r="1" spans="1:7">
      <c r="A1" s="62"/>
      <c r="B1" s="63" t="s">
        <v>94</v>
      </c>
      <c r="C1" s="63"/>
      <c r="D1" s="63"/>
      <c r="E1" s="2"/>
      <c r="F1" s="2"/>
      <c r="G1" s="64" t="s">
        <v>58</v>
      </c>
    </row>
    <row r="2" spans="1:7">
      <c r="A2" s="62"/>
      <c r="B2" s="65" t="s">
        <v>59</v>
      </c>
      <c r="C2" s="65" t="s">
        <v>124</v>
      </c>
      <c r="D2" s="65" t="s">
        <v>158</v>
      </c>
      <c r="E2" s="203" t="s">
        <v>163</v>
      </c>
      <c r="F2" s="203" t="s">
        <v>216</v>
      </c>
      <c r="G2" s="66"/>
    </row>
    <row r="3" spans="1:7">
      <c r="A3" s="94" t="s">
        <v>159</v>
      </c>
      <c r="B3" s="94">
        <v>480</v>
      </c>
      <c r="C3" s="94">
        <v>480</v>
      </c>
      <c r="D3" s="94">
        <v>480</v>
      </c>
      <c r="E3" s="142">
        <v>480</v>
      </c>
      <c r="F3" s="171">
        <v>480</v>
      </c>
      <c r="G3" s="66" t="s">
        <v>96</v>
      </c>
    </row>
    <row r="4" spans="1:7">
      <c r="A4" s="94" t="s">
        <v>160</v>
      </c>
      <c r="B4" s="94">
        <v>120</v>
      </c>
      <c r="C4" s="94">
        <v>120</v>
      </c>
      <c r="D4" s="94">
        <v>120</v>
      </c>
      <c r="E4" s="142">
        <v>120</v>
      </c>
      <c r="F4" s="171">
        <v>120</v>
      </c>
      <c r="G4" s="206" t="s">
        <v>161</v>
      </c>
    </row>
    <row r="5" spans="1:7">
      <c r="A5" s="67" t="s">
        <v>97</v>
      </c>
      <c r="B5" s="94">
        <f>1327/10+1327</f>
        <v>1459.7</v>
      </c>
      <c r="C5" s="94">
        <v>1489.7</v>
      </c>
      <c r="D5" s="94">
        <v>1522</v>
      </c>
      <c r="E5" s="171">
        <v>1580</v>
      </c>
      <c r="F5" s="171">
        <v>1650</v>
      </c>
      <c r="G5" s="66" t="s">
        <v>98</v>
      </c>
    </row>
    <row r="6" spans="1:7">
      <c r="A6" s="69" t="s">
        <v>60</v>
      </c>
      <c r="B6" s="94">
        <v>180</v>
      </c>
      <c r="C6" s="94">
        <v>180</v>
      </c>
      <c r="D6" s="94">
        <v>180</v>
      </c>
      <c r="E6" s="171">
        <v>216</v>
      </c>
      <c r="F6" s="171">
        <v>216</v>
      </c>
      <c r="G6" s="66" t="s">
        <v>164</v>
      </c>
    </row>
    <row r="7" spans="1:7">
      <c r="A7" s="69" t="s">
        <v>4</v>
      </c>
      <c r="B7" s="94">
        <v>400</v>
      </c>
      <c r="C7" s="94">
        <v>400</v>
      </c>
      <c r="D7" s="94">
        <v>400</v>
      </c>
      <c r="E7" s="142">
        <v>450</v>
      </c>
      <c r="F7" s="171">
        <v>450</v>
      </c>
      <c r="G7" s="66"/>
    </row>
    <row r="8" spans="1:7">
      <c r="A8" s="69" t="s">
        <v>6</v>
      </c>
      <c r="B8" s="94">
        <v>60</v>
      </c>
      <c r="C8" s="94">
        <v>70</v>
      </c>
      <c r="D8" s="142">
        <v>70</v>
      </c>
      <c r="E8" s="142">
        <v>60</v>
      </c>
      <c r="F8" s="171">
        <v>60</v>
      </c>
      <c r="G8" s="66" t="s">
        <v>99</v>
      </c>
    </row>
    <row r="9" spans="1:7" ht="30">
      <c r="A9" s="67" t="s">
        <v>62</v>
      </c>
      <c r="B9" s="94">
        <f>6*52*14.76+11*5.85</f>
        <v>4669.47</v>
      </c>
      <c r="C9" s="94">
        <f>B9+93.39</f>
        <v>4762.8600000000006</v>
      </c>
      <c r="D9" s="2">
        <v>4844.1899999999996</v>
      </c>
      <c r="E9" s="142">
        <v>5122</v>
      </c>
      <c r="F9" s="171">
        <v>5500</v>
      </c>
      <c r="G9" s="70" t="s">
        <v>125</v>
      </c>
    </row>
    <row r="10" spans="1:7">
      <c r="A10" s="67" t="s">
        <v>7</v>
      </c>
      <c r="B10" s="94">
        <v>500</v>
      </c>
      <c r="C10" s="94">
        <v>600</v>
      </c>
      <c r="D10" s="94">
        <v>600</v>
      </c>
      <c r="E10" s="142">
        <v>400</v>
      </c>
      <c r="F10" s="171">
        <v>650</v>
      </c>
      <c r="G10" s="66" t="s">
        <v>101</v>
      </c>
    </row>
    <row r="11" spans="1:7">
      <c r="A11" s="67" t="s">
        <v>102</v>
      </c>
      <c r="B11" s="95">
        <v>8720</v>
      </c>
      <c r="C11" s="95">
        <v>9000</v>
      </c>
      <c r="D11" s="94">
        <v>9500</v>
      </c>
      <c r="E11" s="142">
        <v>8500</v>
      </c>
      <c r="F11" s="171">
        <v>9500</v>
      </c>
      <c r="G11" s="66" t="s">
        <v>126</v>
      </c>
    </row>
    <row r="12" spans="1:7">
      <c r="A12" s="67" t="s">
        <v>51</v>
      </c>
      <c r="B12" s="95">
        <v>60</v>
      </c>
      <c r="C12" s="95">
        <v>65</v>
      </c>
      <c r="D12" s="94">
        <v>65</v>
      </c>
      <c r="E12" s="142">
        <v>65</v>
      </c>
      <c r="F12" s="171"/>
      <c r="G12" s="66" t="s">
        <v>220</v>
      </c>
    </row>
    <row r="13" spans="1:7">
      <c r="A13" s="67" t="s">
        <v>104</v>
      </c>
      <c r="B13" s="95">
        <v>10</v>
      </c>
      <c r="C13" s="95">
        <v>10</v>
      </c>
      <c r="D13" s="142">
        <v>10</v>
      </c>
      <c r="E13" s="142">
        <v>10</v>
      </c>
      <c r="F13" s="171"/>
      <c r="G13" s="66" t="s">
        <v>221</v>
      </c>
    </row>
    <row r="14" spans="1:7" ht="45">
      <c r="A14" s="67" t="s">
        <v>9</v>
      </c>
      <c r="B14" s="94">
        <v>550</v>
      </c>
      <c r="C14" s="94">
        <v>600</v>
      </c>
      <c r="D14" s="94">
        <v>630</v>
      </c>
      <c r="E14" s="142">
        <v>630</v>
      </c>
      <c r="F14" s="171">
        <v>650</v>
      </c>
      <c r="G14" s="70" t="s">
        <v>105</v>
      </c>
    </row>
    <row r="15" spans="1:7">
      <c r="A15" s="62" t="s">
        <v>106</v>
      </c>
      <c r="B15" s="96">
        <v>3000</v>
      </c>
      <c r="C15" s="96">
        <v>3000</v>
      </c>
      <c r="D15" s="96">
        <v>3000</v>
      </c>
      <c r="E15" s="142">
        <v>2500</v>
      </c>
      <c r="F15" s="171">
        <v>2500</v>
      </c>
      <c r="G15" s="66" t="s">
        <v>107</v>
      </c>
    </row>
    <row r="16" spans="1:7">
      <c r="A16" s="62" t="s">
        <v>222</v>
      </c>
      <c r="B16" s="96"/>
      <c r="C16" s="96"/>
      <c r="D16" s="96"/>
      <c r="E16" s="142"/>
      <c r="F16" s="171">
        <v>2000</v>
      </c>
      <c r="G16" s="66" t="s">
        <v>223</v>
      </c>
    </row>
    <row r="17" spans="1:11" ht="45">
      <c r="A17" s="71" t="s">
        <v>108</v>
      </c>
      <c r="B17" s="96">
        <v>1600</v>
      </c>
      <c r="C17" s="96">
        <v>1800</v>
      </c>
      <c r="D17" s="96">
        <v>1500</v>
      </c>
      <c r="E17" s="142">
        <v>312</v>
      </c>
      <c r="F17" s="171">
        <v>500</v>
      </c>
      <c r="G17" s="66"/>
    </row>
    <row r="18" spans="1:11">
      <c r="A18" s="62" t="s">
        <v>128</v>
      </c>
      <c r="B18" s="96">
        <v>100</v>
      </c>
      <c r="C18" s="96">
        <v>2007.44</v>
      </c>
      <c r="D18" s="96">
        <v>3073.81</v>
      </c>
      <c r="E18" s="142">
        <v>2000</v>
      </c>
      <c r="F18" s="171"/>
      <c r="G18" s="66"/>
    </row>
    <row r="19" spans="1:11">
      <c r="A19" s="62" t="s">
        <v>8</v>
      </c>
      <c r="B19" s="96">
        <v>480</v>
      </c>
      <c r="C19" s="96">
        <v>480</v>
      </c>
      <c r="D19" s="96">
        <v>480</v>
      </c>
      <c r="E19" s="142">
        <v>240</v>
      </c>
      <c r="F19" s="171">
        <v>280</v>
      </c>
      <c r="G19" s="66" t="s">
        <v>99</v>
      </c>
    </row>
    <row r="20" spans="1:11">
      <c r="A20" s="62" t="s">
        <v>127</v>
      </c>
      <c r="B20" s="96">
        <v>2000</v>
      </c>
      <c r="C20" s="96">
        <v>1000</v>
      </c>
      <c r="D20" s="96">
        <v>1000</v>
      </c>
      <c r="E20" s="142">
        <v>350</v>
      </c>
      <c r="F20" s="171">
        <v>350</v>
      </c>
      <c r="G20" s="66"/>
    </row>
    <row r="21" spans="1:11">
      <c r="A21" s="62" t="s">
        <v>63</v>
      </c>
      <c r="B21" s="96">
        <v>50</v>
      </c>
      <c r="C21" s="96">
        <v>50</v>
      </c>
      <c r="D21" s="96">
        <v>50</v>
      </c>
      <c r="E21" s="142">
        <v>50</v>
      </c>
      <c r="F21" s="171">
        <v>50</v>
      </c>
      <c r="G21" s="66"/>
    </row>
    <row r="22" spans="1:11">
      <c r="A22" s="62" t="s">
        <v>64</v>
      </c>
      <c r="B22" s="96">
        <v>1000</v>
      </c>
      <c r="C22" s="96">
        <v>100</v>
      </c>
      <c r="D22" s="96">
        <v>50</v>
      </c>
      <c r="E22" s="142">
        <v>15</v>
      </c>
      <c r="F22" s="171">
        <v>150</v>
      </c>
      <c r="G22" s="66"/>
    </row>
    <row r="23" spans="1:11">
      <c r="A23" s="146" t="s">
        <v>16</v>
      </c>
      <c r="B23" s="147">
        <f>SUM(B3:B22)</f>
        <v>25439.17</v>
      </c>
      <c r="C23" s="147">
        <f>SUM(C3:C22)</f>
        <v>26215</v>
      </c>
      <c r="D23" s="147">
        <f>SUM(D3:D22)</f>
        <v>27575</v>
      </c>
      <c r="E23" s="147">
        <f>SUM(E3:E22)</f>
        <v>23100</v>
      </c>
      <c r="F23" s="147">
        <f>SUM(F3:F22)</f>
        <v>25106</v>
      </c>
      <c r="G23" s="148"/>
    </row>
    <row r="24" spans="1:11">
      <c r="A24" s="69"/>
      <c r="B24" s="68"/>
      <c r="C24" s="68"/>
      <c r="D24" s="68"/>
      <c r="E24" s="68"/>
      <c r="F24" s="68"/>
      <c r="G24" s="66"/>
    </row>
    <row r="27" spans="1:11">
      <c r="A27" s="178" t="s">
        <v>174</v>
      </c>
    </row>
    <row r="28" spans="1:11">
      <c r="A28" s="178" t="s">
        <v>185</v>
      </c>
    </row>
    <row r="29" spans="1:11" ht="30">
      <c r="A29" s="2"/>
      <c r="B29" s="2" t="s">
        <v>16</v>
      </c>
      <c r="C29" s="179" t="s">
        <v>175</v>
      </c>
      <c r="D29" s="2" t="s">
        <v>177</v>
      </c>
      <c r="E29" s="2" t="s">
        <v>179</v>
      </c>
      <c r="F29" s="2" t="s">
        <v>180</v>
      </c>
      <c r="G29" s="2" t="s">
        <v>178</v>
      </c>
      <c r="H29" s="2" t="s">
        <v>181</v>
      </c>
      <c r="I29" s="2" t="s">
        <v>182</v>
      </c>
      <c r="J29" s="2" t="s">
        <v>183</v>
      </c>
      <c r="K29" s="2" t="s">
        <v>184</v>
      </c>
    </row>
    <row r="30" spans="1:11">
      <c r="A30" s="2" t="s">
        <v>219</v>
      </c>
      <c r="B30" s="2">
        <v>23350</v>
      </c>
      <c r="C30" s="2">
        <v>523</v>
      </c>
      <c r="D30" s="171">
        <f>G30*6/9</f>
        <v>29.764181007010833</v>
      </c>
      <c r="E30" s="171">
        <f>G30*7/9</f>
        <v>34.724877841512637</v>
      </c>
      <c r="F30" s="171">
        <f>G30*8/9</f>
        <v>39.685574676014447</v>
      </c>
      <c r="G30" s="171">
        <f>B30/C30</f>
        <v>44.64627151051625</v>
      </c>
      <c r="H30" s="171">
        <f>G30*11/9</f>
        <v>54.567665179519864</v>
      </c>
      <c r="I30" s="171">
        <f>G30*13/9</f>
        <v>64.489058848523484</v>
      </c>
      <c r="J30" s="171">
        <f>G30*15/9</f>
        <v>74.410452517527077</v>
      </c>
      <c r="K30" s="171">
        <f>G30*18/9</f>
        <v>89.2925430210325</v>
      </c>
    </row>
    <row r="31" spans="1:11">
      <c r="A31" s="143" t="s">
        <v>218</v>
      </c>
      <c r="B31" s="205">
        <f>F23</f>
        <v>25106</v>
      </c>
      <c r="C31" s="2">
        <v>546</v>
      </c>
      <c r="D31" s="171">
        <f>G31*6/9</f>
        <v>30.654456654456656</v>
      </c>
      <c r="E31" s="171">
        <f>G31*7/9</f>
        <v>35.763532763532766</v>
      </c>
      <c r="F31" s="171">
        <f>G31*8/9</f>
        <v>40.872608872608872</v>
      </c>
      <c r="G31" s="171">
        <f>B31/C31</f>
        <v>45.981684981684978</v>
      </c>
      <c r="H31" s="171">
        <f>G31*11/9</f>
        <v>56.199837199837198</v>
      </c>
      <c r="I31" s="171">
        <f>G31*13/9</f>
        <v>66.417989417989418</v>
      </c>
      <c r="J31" s="171">
        <f>G31*15/9</f>
        <v>76.63614163614163</v>
      </c>
      <c r="K31" s="171">
        <f>G31*18/9</f>
        <v>91.963369963369956</v>
      </c>
    </row>
    <row r="33" spans="1:11">
      <c r="A33" s="207"/>
      <c r="B33" s="180">
        <f>(B31-B30)/B30</f>
        <v>7.5203426124197004E-2</v>
      </c>
      <c r="C33" s="184" t="s">
        <v>217</v>
      </c>
      <c r="D33" s="98"/>
      <c r="E33" s="98"/>
      <c r="F33" s="204"/>
      <c r="G33" s="98"/>
      <c r="H33" s="98"/>
      <c r="I33" s="98"/>
      <c r="J33" s="98"/>
      <c r="K33" s="98"/>
    </row>
    <row r="34" spans="1:11">
      <c r="F34" s="204"/>
    </row>
  </sheetData>
  <pageMargins left="0.70866141732283472" right="0.70866141732283472" top="0.74803149606299213" bottom="0.74803149606299213" header="0.31496062992125984" footer="0.31496062992125984"/>
  <pageSetup paperSize="9" scale="69" orientation="landscape" r:id="rId1"/>
</worksheet>
</file>

<file path=xl/worksheets/sheet23.xml><?xml version="1.0" encoding="utf-8"?>
<worksheet xmlns="http://schemas.openxmlformats.org/spreadsheetml/2006/main" xmlns:r="http://schemas.openxmlformats.org/officeDocument/2006/relationships">
  <dimension ref="A1:H31"/>
  <sheetViews>
    <sheetView topLeftCell="A7" workbookViewId="0">
      <selection sqref="A1:G32"/>
    </sheetView>
  </sheetViews>
  <sheetFormatPr defaultRowHeight="15"/>
  <cols>
    <col min="1" max="1" width="11.7109375" customWidth="1"/>
    <col min="3" max="3" width="26.28515625" customWidth="1"/>
    <col min="4" max="4" width="38.5703125" customWidth="1"/>
    <col min="9" max="9" width="28.7109375" bestFit="1" customWidth="1"/>
    <col min="10" max="10" width="10.5703125" bestFit="1" customWidth="1"/>
  </cols>
  <sheetData>
    <row r="1" spans="1:7" ht="21">
      <c r="A1" s="279" t="s">
        <v>115</v>
      </c>
      <c r="B1" s="279"/>
      <c r="C1" s="279"/>
      <c r="D1" s="279"/>
      <c r="E1" s="279"/>
      <c r="F1" s="279"/>
      <c r="G1" s="279"/>
    </row>
    <row r="2" spans="1:7" ht="6" customHeight="1">
      <c r="A2" s="236"/>
    </row>
    <row r="3" spans="1:7" ht="21">
      <c r="A3" s="280" t="s">
        <v>260</v>
      </c>
      <c r="B3" s="280"/>
      <c r="C3" s="280"/>
      <c r="D3" s="280"/>
      <c r="E3" s="280"/>
      <c r="F3" s="280"/>
      <c r="G3" s="280"/>
    </row>
    <row r="4" spans="1:7" ht="9.75" customHeight="1">
      <c r="A4" s="237"/>
    </row>
    <row r="5" spans="1:7" ht="15.75">
      <c r="A5" s="237" t="s">
        <v>297</v>
      </c>
    </row>
    <row r="6" spans="1:7" ht="16.5" thickBot="1">
      <c r="A6" s="238"/>
    </row>
    <row r="7" spans="1:7" ht="15.75" customHeight="1" thickBot="1">
      <c r="A7" s="239" t="s">
        <v>261</v>
      </c>
      <c r="B7" s="240" t="s">
        <v>262</v>
      </c>
      <c r="C7" s="239" t="s">
        <v>48</v>
      </c>
      <c r="D7" s="281" t="s">
        <v>263</v>
      </c>
      <c r="E7" s="283" t="s">
        <v>264</v>
      </c>
      <c r="F7" s="284"/>
      <c r="G7" s="285"/>
    </row>
    <row r="8" spans="1:7" ht="15.75" thickBot="1">
      <c r="A8" s="241" t="s">
        <v>265</v>
      </c>
      <c r="B8" s="242" t="s">
        <v>265</v>
      </c>
      <c r="C8" s="241"/>
      <c r="D8" s="282"/>
      <c r="E8" s="243" t="s">
        <v>266</v>
      </c>
      <c r="F8" s="243" t="s">
        <v>15</v>
      </c>
      <c r="G8" s="243" t="s">
        <v>16</v>
      </c>
    </row>
    <row r="9" spans="1:7" ht="15.75" thickBot="1">
      <c r="A9" s="244" t="s">
        <v>279</v>
      </c>
      <c r="B9" s="246" t="s">
        <v>193</v>
      </c>
      <c r="C9" s="245" t="s">
        <v>287</v>
      </c>
      <c r="D9" s="245" t="s">
        <v>195</v>
      </c>
      <c r="E9" s="247">
        <v>148.72</v>
      </c>
      <c r="F9" s="247"/>
      <c r="G9" s="247">
        <f>E9+F9</f>
        <v>148.72</v>
      </c>
    </row>
    <row r="10" spans="1:7" ht="15.75" thickBot="1">
      <c r="A10" s="244" t="s">
        <v>280</v>
      </c>
      <c r="B10" s="246" t="s">
        <v>193</v>
      </c>
      <c r="C10" s="245" t="s">
        <v>238</v>
      </c>
      <c r="D10" s="245" t="s">
        <v>197</v>
      </c>
      <c r="E10" s="247">
        <v>454.64</v>
      </c>
      <c r="F10" s="247">
        <v>90.93</v>
      </c>
      <c r="G10" s="247">
        <f t="shared" ref="G10:G22" si="0">E10+F10</f>
        <v>545.56999999999994</v>
      </c>
    </row>
    <row r="11" spans="1:7" ht="15.75" thickBot="1">
      <c r="A11" s="244" t="s">
        <v>281</v>
      </c>
      <c r="B11" s="246" t="s">
        <v>193</v>
      </c>
      <c r="C11" s="245" t="s">
        <v>253</v>
      </c>
      <c r="D11" s="245" t="s">
        <v>272</v>
      </c>
      <c r="E11" s="247">
        <v>325.88</v>
      </c>
      <c r="F11" s="247"/>
      <c r="G11" s="247">
        <f t="shared" si="0"/>
        <v>325.88</v>
      </c>
    </row>
    <row r="12" spans="1:7" ht="15.75" thickBot="1">
      <c r="A12" s="244" t="s">
        <v>282</v>
      </c>
      <c r="B12" s="246" t="s">
        <v>193</v>
      </c>
      <c r="C12" s="245" t="s">
        <v>4</v>
      </c>
      <c r="D12" s="245" t="s">
        <v>274</v>
      </c>
      <c r="E12" s="247">
        <v>73.8</v>
      </c>
      <c r="F12" s="247"/>
      <c r="G12" s="247">
        <f t="shared" si="0"/>
        <v>73.8</v>
      </c>
    </row>
    <row r="13" spans="1:7" ht="15.75" thickBot="1">
      <c r="A13" s="244" t="s">
        <v>283</v>
      </c>
      <c r="B13" s="246" t="s">
        <v>193</v>
      </c>
      <c r="C13" s="245" t="s">
        <v>287</v>
      </c>
      <c r="D13" s="245" t="s">
        <v>195</v>
      </c>
      <c r="E13" s="247">
        <v>148.72</v>
      </c>
      <c r="F13" s="247"/>
      <c r="G13" s="247">
        <f t="shared" si="0"/>
        <v>148.72</v>
      </c>
    </row>
    <row r="14" spans="1:7" ht="15.75" thickBot="1">
      <c r="A14" s="244" t="s">
        <v>284</v>
      </c>
      <c r="B14" s="246" t="s">
        <v>193</v>
      </c>
      <c r="C14" s="245" t="s">
        <v>134</v>
      </c>
      <c r="D14" s="245" t="s">
        <v>6</v>
      </c>
      <c r="E14" s="247">
        <v>60</v>
      </c>
      <c r="F14" s="247"/>
      <c r="G14" s="247">
        <f t="shared" si="0"/>
        <v>60</v>
      </c>
    </row>
    <row r="15" spans="1:7" ht="15.75" thickBot="1">
      <c r="A15" s="244" t="s">
        <v>285</v>
      </c>
      <c r="B15" s="246" t="s">
        <v>193</v>
      </c>
      <c r="C15" s="245" t="s">
        <v>252</v>
      </c>
      <c r="D15" s="245" t="s">
        <v>288</v>
      </c>
      <c r="E15" s="247">
        <v>4345.2</v>
      </c>
      <c r="F15" s="247"/>
      <c r="G15" s="247">
        <f t="shared" si="0"/>
        <v>4345.2</v>
      </c>
    </row>
    <row r="16" spans="1:7" ht="15.75" thickBot="1">
      <c r="A16" s="244" t="s">
        <v>286</v>
      </c>
      <c r="B16" s="246" t="s">
        <v>193</v>
      </c>
      <c r="C16" s="245" t="s">
        <v>64</v>
      </c>
      <c r="D16" s="245" t="s">
        <v>292</v>
      </c>
      <c r="E16" s="247">
        <v>23.98</v>
      </c>
      <c r="F16" s="247">
        <v>4.8</v>
      </c>
      <c r="G16" s="247">
        <f t="shared" si="0"/>
        <v>28.78</v>
      </c>
    </row>
    <row r="17" spans="1:8" ht="15.75" customHeight="1" thickBot="1">
      <c r="A17" s="244" t="s">
        <v>289</v>
      </c>
      <c r="B17" s="246" t="s">
        <v>193</v>
      </c>
      <c r="C17" s="245" t="s">
        <v>293</v>
      </c>
      <c r="D17" s="245" t="s">
        <v>294</v>
      </c>
      <c r="E17" s="247">
        <v>980.64</v>
      </c>
      <c r="F17" s="247">
        <f>E17/120*20</f>
        <v>163.44</v>
      </c>
      <c r="G17" s="247">
        <f t="shared" si="0"/>
        <v>1144.08</v>
      </c>
    </row>
    <row r="18" spans="1:8" ht="15.75" thickBot="1">
      <c r="A18" s="244" t="s">
        <v>290</v>
      </c>
      <c r="B18" s="246" t="s">
        <v>193</v>
      </c>
      <c r="C18" s="245" t="s">
        <v>4</v>
      </c>
      <c r="D18" s="245" t="s">
        <v>274</v>
      </c>
      <c r="E18" s="247">
        <v>76</v>
      </c>
      <c r="F18" s="247"/>
      <c r="G18" s="247">
        <v>74</v>
      </c>
    </row>
    <row r="19" spans="1:8" ht="15.75" thickBot="1">
      <c r="A19" s="244" t="s">
        <v>291</v>
      </c>
      <c r="B19" s="246" t="s">
        <v>193</v>
      </c>
      <c r="C19" s="245" t="s">
        <v>253</v>
      </c>
      <c r="D19" s="245" t="s">
        <v>272</v>
      </c>
      <c r="E19" s="247">
        <v>310.68</v>
      </c>
      <c r="F19" s="247"/>
      <c r="G19" s="247">
        <f t="shared" si="0"/>
        <v>310.68</v>
      </c>
    </row>
    <row r="20" spans="1:8" ht="15.75" thickBot="1">
      <c r="A20" s="244" t="s">
        <v>267</v>
      </c>
      <c r="B20" s="246" t="s">
        <v>193</v>
      </c>
      <c r="C20" s="245" t="s">
        <v>4</v>
      </c>
      <c r="D20" s="245" t="s">
        <v>274</v>
      </c>
      <c r="E20" s="247">
        <v>74</v>
      </c>
      <c r="F20" s="247"/>
      <c r="G20" s="247">
        <f t="shared" si="0"/>
        <v>74</v>
      </c>
    </row>
    <row r="21" spans="1:8" ht="15.75" thickBot="1">
      <c r="A21" s="244" t="s">
        <v>268</v>
      </c>
      <c r="B21" s="246" t="s">
        <v>193</v>
      </c>
      <c r="C21" s="245" t="s">
        <v>253</v>
      </c>
      <c r="D21" s="245" t="s">
        <v>272</v>
      </c>
      <c r="E21" s="247">
        <v>310.68</v>
      </c>
      <c r="F21" s="247"/>
      <c r="G21" s="247">
        <f t="shared" si="0"/>
        <v>310.68</v>
      </c>
    </row>
    <row r="22" spans="1:8" ht="15.75" thickBot="1">
      <c r="A22" s="244" t="s">
        <v>269</v>
      </c>
      <c r="B22" s="246" t="s">
        <v>193</v>
      </c>
      <c r="C22" s="245" t="s">
        <v>295</v>
      </c>
      <c r="D22" s="245" t="s">
        <v>296</v>
      </c>
      <c r="E22" s="247">
        <f>'Budget over Expenditure 23-24'!D12</f>
        <v>639.86</v>
      </c>
      <c r="F22" s="247"/>
      <c r="G22" s="247">
        <f t="shared" si="0"/>
        <v>639.86</v>
      </c>
    </row>
    <row r="23" spans="1:8" ht="15.75" thickBot="1">
      <c r="A23" s="244" t="s">
        <v>270</v>
      </c>
      <c r="B23" s="246" t="s">
        <v>193</v>
      </c>
      <c r="C23" s="245" t="s">
        <v>287</v>
      </c>
      <c r="D23" s="245" t="s">
        <v>195</v>
      </c>
      <c r="E23" s="247">
        <v>148.72</v>
      </c>
      <c r="F23" s="247"/>
      <c r="G23" s="247">
        <f>E23+F23</f>
        <v>148.72</v>
      </c>
    </row>
    <row r="26" spans="1:8" ht="15.75">
      <c r="A26" s="237"/>
    </row>
    <row r="27" spans="1:8" ht="18.75">
      <c r="A27" s="237" t="s">
        <v>277</v>
      </c>
      <c r="G27" s="248" t="s">
        <v>298</v>
      </c>
    </row>
    <row r="28" spans="1:8" ht="15.75">
      <c r="A28" s="238"/>
    </row>
    <row r="29" spans="1:8" ht="15.75">
      <c r="A29" s="249" t="s">
        <v>300</v>
      </c>
      <c r="B29" s="249"/>
      <c r="C29" s="249"/>
      <c r="D29" s="249"/>
      <c r="E29" s="249"/>
      <c r="F29" s="249"/>
      <c r="G29" s="248" t="s">
        <v>299</v>
      </c>
      <c r="H29" s="249"/>
    </row>
    <row r="30" spans="1:8" ht="15.75">
      <c r="A30" s="237"/>
    </row>
    <row r="31" spans="1:8" ht="15.75">
      <c r="A31" s="237" t="s">
        <v>278</v>
      </c>
    </row>
  </sheetData>
  <mergeCells count="4">
    <mergeCell ref="A1:G1"/>
    <mergeCell ref="A3:G3"/>
    <mergeCell ref="D7:D8"/>
    <mergeCell ref="E7:G7"/>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dimension ref="A1:G23"/>
  <sheetViews>
    <sheetView topLeftCell="A4" workbookViewId="0">
      <selection sqref="A1:G24"/>
    </sheetView>
  </sheetViews>
  <sheetFormatPr defaultRowHeight="15"/>
  <cols>
    <col min="1" max="1" width="13.140625" customWidth="1"/>
    <col min="2" max="2" width="8.28515625" bestFit="1" customWidth="1"/>
    <col min="3" max="3" width="27.42578125" customWidth="1"/>
    <col min="4" max="4" width="39.5703125" customWidth="1"/>
  </cols>
  <sheetData>
    <row r="1" spans="1:7" ht="21">
      <c r="A1" s="279" t="s">
        <v>115</v>
      </c>
      <c r="B1" s="279"/>
      <c r="C1" s="279"/>
      <c r="D1" s="279"/>
      <c r="E1" s="279"/>
      <c r="F1" s="279"/>
      <c r="G1" s="279"/>
    </row>
    <row r="2" spans="1:7" ht="15.75">
      <c r="A2" s="236"/>
    </row>
    <row r="3" spans="1:7" ht="21">
      <c r="A3" s="280" t="s">
        <v>260</v>
      </c>
      <c r="B3" s="280"/>
      <c r="C3" s="280"/>
      <c r="D3" s="280"/>
      <c r="E3" s="280"/>
      <c r="F3" s="280"/>
      <c r="G3" s="280"/>
    </row>
    <row r="4" spans="1:7" ht="15.75">
      <c r="A4" s="237"/>
    </row>
    <row r="5" spans="1:7" ht="15.75">
      <c r="A5" s="237" t="s">
        <v>304</v>
      </c>
    </row>
    <row r="6" spans="1:7" ht="16.5" thickBot="1">
      <c r="A6" s="238"/>
    </row>
    <row r="7" spans="1:7" ht="15.75" thickBot="1">
      <c r="A7" s="239" t="s">
        <v>261</v>
      </c>
      <c r="B7" s="240" t="s">
        <v>262</v>
      </c>
      <c r="C7" s="239" t="s">
        <v>48</v>
      </c>
      <c r="D7" s="281" t="s">
        <v>263</v>
      </c>
      <c r="E7" s="283" t="s">
        <v>264</v>
      </c>
      <c r="F7" s="284"/>
      <c r="G7" s="285"/>
    </row>
    <row r="8" spans="1:7" ht="15.75" thickBot="1">
      <c r="A8" s="241" t="s">
        <v>265</v>
      </c>
      <c r="B8" s="242" t="s">
        <v>265</v>
      </c>
      <c r="C8" s="241"/>
      <c r="D8" s="282"/>
      <c r="E8" s="243" t="s">
        <v>266</v>
      </c>
      <c r="F8" s="243" t="s">
        <v>15</v>
      </c>
      <c r="G8" s="243" t="s">
        <v>16</v>
      </c>
    </row>
    <row r="9" spans="1:7" ht="15.75" thickBot="1">
      <c r="A9" s="244" t="s">
        <v>271</v>
      </c>
      <c r="B9" s="246" t="s">
        <v>193</v>
      </c>
      <c r="C9" s="245" t="s">
        <v>287</v>
      </c>
      <c r="D9" s="245" t="s">
        <v>195</v>
      </c>
      <c r="E9" s="247">
        <v>148.72</v>
      </c>
      <c r="F9" s="247"/>
      <c r="G9" s="247">
        <f>E9+F9</f>
        <v>148.72</v>
      </c>
    </row>
    <row r="10" spans="1:7" ht="15.75" thickBot="1">
      <c r="A10" s="244" t="s">
        <v>273</v>
      </c>
      <c r="B10" s="246" t="s">
        <v>193</v>
      </c>
      <c r="C10" s="245" t="s">
        <v>253</v>
      </c>
      <c r="D10" s="245" t="s">
        <v>272</v>
      </c>
      <c r="E10" s="247">
        <v>325.88</v>
      </c>
      <c r="F10" s="247"/>
      <c r="G10" s="247">
        <f t="shared" ref="G10:G15" si="0">E10+F10</f>
        <v>325.88</v>
      </c>
    </row>
    <row r="11" spans="1:7" ht="15.75" thickBot="1">
      <c r="A11" s="244" t="s">
        <v>275</v>
      </c>
      <c r="B11" s="246" t="s">
        <v>193</v>
      </c>
      <c r="C11" s="245" t="s">
        <v>4</v>
      </c>
      <c r="D11" s="245" t="s">
        <v>274</v>
      </c>
      <c r="E11" s="247">
        <v>73.8</v>
      </c>
      <c r="F11" s="247"/>
      <c r="G11" s="247">
        <f t="shared" si="0"/>
        <v>73.8</v>
      </c>
    </row>
    <row r="12" spans="1:7" ht="15.75" thickBot="1">
      <c r="A12" s="244" t="s">
        <v>276</v>
      </c>
      <c r="B12" s="246" t="s">
        <v>193</v>
      </c>
      <c r="C12" s="245" t="s">
        <v>4</v>
      </c>
      <c r="D12" s="245" t="s">
        <v>274</v>
      </c>
      <c r="E12" s="247">
        <v>73.8</v>
      </c>
      <c r="F12" s="247"/>
      <c r="G12" s="247">
        <f t="shared" si="0"/>
        <v>73.8</v>
      </c>
    </row>
    <row r="13" spans="1:7" ht="15.75" thickBot="1">
      <c r="A13" s="244" t="s">
        <v>301</v>
      </c>
      <c r="B13" s="246" t="s">
        <v>193</v>
      </c>
      <c r="C13" s="245" t="s">
        <v>287</v>
      </c>
      <c r="D13" s="245" t="s">
        <v>195</v>
      </c>
      <c r="E13" s="247">
        <v>148.72</v>
      </c>
      <c r="F13" s="247"/>
      <c r="G13" s="247">
        <f t="shared" si="0"/>
        <v>148.72</v>
      </c>
    </row>
    <row r="14" spans="1:7" ht="15.75" thickBot="1">
      <c r="A14" s="244" t="s">
        <v>302</v>
      </c>
      <c r="B14" s="246" t="s">
        <v>193</v>
      </c>
      <c r="C14" s="245" t="s">
        <v>253</v>
      </c>
      <c r="D14" s="245" t="s">
        <v>272</v>
      </c>
      <c r="E14" s="247">
        <v>325.88</v>
      </c>
      <c r="F14" s="247"/>
      <c r="G14" s="247">
        <f t="shared" si="0"/>
        <v>325.88</v>
      </c>
    </row>
    <row r="15" spans="1:7" ht="15.75" thickBot="1">
      <c r="A15" s="244" t="s">
        <v>303</v>
      </c>
      <c r="B15" s="246" t="s">
        <v>193</v>
      </c>
      <c r="C15" s="245" t="s">
        <v>252</v>
      </c>
      <c r="D15" s="245" t="s">
        <v>288</v>
      </c>
      <c r="E15" s="247">
        <v>4345.2</v>
      </c>
      <c r="F15" s="247"/>
      <c r="G15" s="247">
        <f t="shared" si="0"/>
        <v>4345.2</v>
      </c>
    </row>
    <row r="18" spans="1:7" ht="15.75">
      <c r="A18" s="237"/>
    </row>
    <row r="19" spans="1:7" ht="18.75">
      <c r="A19" s="237" t="s">
        <v>277</v>
      </c>
      <c r="G19" s="248" t="s">
        <v>298</v>
      </c>
    </row>
    <row r="20" spans="1:7" ht="15.75">
      <c r="A20" s="238"/>
    </row>
    <row r="21" spans="1:7" ht="15.75">
      <c r="A21" s="249" t="s">
        <v>300</v>
      </c>
      <c r="B21" s="249"/>
      <c r="C21" s="249"/>
      <c r="D21" s="249"/>
      <c r="E21" s="249"/>
      <c r="F21" s="249"/>
      <c r="G21" s="248" t="s">
        <v>299</v>
      </c>
    </row>
    <row r="22" spans="1:7" ht="15.75">
      <c r="A22" s="237"/>
    </row>
    <row r="23" spans="1:7" ht="15.75">
      <c r="A23" s="237" t="s">
        <v>278</v>
      </c>
    </row>
  </sheetData>
  <mergeCells count="4">
    <mergeCell ref="A1:G1"/>
    <mergeCell ref="A3:G3"/>
    <mergeCell ref="D7:D8"/>
    <mergeCell ref="E7:G7"/>
  </mergeCells>
  <pageMargins left="0.7" right="0.7" top="0.75" bottom="0.75" header="0.3" footer="0.3"/>
  <pageSetup paperSize="9" orientation="landscape" r:id="rId1"/>
  <drawing r:id="rId2"/>
</worksheet>
</file>

<file path=xl/worksheets/sheet25.xml><?xml version="1.0" encoding="utf-8"?>
<worksheet xmlns="http://schemas.openxmlformats.org/spreadsheetml/2006/main" xmlns:r="http://schemas.openxmlformats.org/officeDocument/2006/relationships">
  <dimension ref="A1:G22"/>
  <sheetViews>
    <sheetView topLeftCell="A4" workbookViewId="0">
      <selection activeCell="D21" activeCellId="1" sqref="A1:G25 D21:D22"/>
    </sheetView>
  </sheetViews>
  <sheetFormatPr defaultRowHeight="15"/>
  <cols>
    <col min="1" max="1" width="18.28515625" customWidth="1"/>
    <col min="2" max="2" width="11.42578125" customWidth="1"/>
    <col min="3" max="3" width="32.140625" customWidth="1"/>
    <col min="4" max="4" width="39.7109375" customWidth="1"/>
  </cols>
  <sheetData>
    <row r="1" spans="1:7" ht="21">
      <c r="A1" s="279" t="s">
        <v>115</v>
      </c>
      <c r="B1" s="279"/>
      <c r="C1" s="279"/>
      <c r="D1" s="279"/>
      <c r="E1" s="279"/>
      <c r="F1" s="279"/>
      <c r="G1" s="279"/>
    </row>
    <row r="2" spans="1:7" ht="15.75">
      <c r="A2" s="236"/>
    </row>
    <row r="3" spans="1:7" ht="21">
      <c r="A3" s="280" t="s">
        <v>260</v>
      </c>
      <c r="B3" s="280"/>
      <c r="C3" s="280"/>
      <c r="D3" s="280"/>
      <c r="E3" s="280"/>
      <c r="F3" s="280"/>
      <c r="G3" s="280"/>
    </row>
    <row r="4" spans="1:7" ht="15.75">
      <c r="A4" s="237"/>
    </row>
    <row r="5" spans="1:7" ht="15.75">
      <c r="A5" s="237" t="s">
        <v>310</v>
      </c>
    </row>
    <row r="6" spans="1:7" ht="16.5" thickBot="1">
      <c r="A6" s="238"/>
    </row>
    <row r="7" spans="1:7" ht="15.75" thickBot="1">
      <c r="A7" s="239" t="s">
        <v>261</v>
      </c>
      <c r="B7" s="240" t="s">
        <v>262</v>
      </c>
      <c r="C7" s="239" t="s">
        <v>48</v>
      </c>
      <c r="D7" s="281" t="s">
        <v>263</v>
      </c>
      <c r="E7" s="283" t="s">
        <v>264</v>
      </c>
      <c r="F7" s="284"/>
      <c r="G7" s="285"/>
    </row>
    <row r="8" spans="1:7" ht="15.75" thickBot="1">
      <c r="A8" s="241" t="s">
        <v>265</v>
      </c>
      <c r="B8" s="242" t="s">
        <v>265</v>
      </c>
      <c r="C8" s="241"/>
      <c r="D8" s="282"/>
      <c r="E8" s="243" t="s">
        <v>266</v>
      </c>
      <c r="F8" s="243" t="s">
        <v>15</v>
      </c>
      <c r="G8" s="243" t="s">
        <v>16</v>
      </c>
    </row>
    <row r="9" spans="1:7" ht="15.75" thickBot="1">
      <c r="A9" s="244" t="s">
        <v>311</v>
      </c>
      <c r="B9" s="246" t="s">
        <v>316</v>
      </c>
      <c r="C9" s="245" t="s">
        <v>287</v>
      </c>
      <c r="D9" s="245" t="s">
        <v>195</v>
      </c>
      <c r="E9" s="247">
        <v>148.72</v>
      </c>
      <c r="F9" s="247"/>
      <c r="G9" s="247">
        <f>E9+F9</f>
        <v>148.72</v>
      </c>
    </row>
    <row r="10" spans="1:7" ht="17.25" customHeight="1" thickBot="1">
      <c r="A10" s="244" t="s">
        <v>312</v>
      </c>
      <c r="B10" s="246" t="s">
        <v>193</v>
      </c>
      <c r="C10" s="245" t="s">
        <v>253</v>
      </c>
      <c r="D10" s="245" t="s">
        <v>272</v>
      </c>
      <c r="E10" s="247">
        <v>325.88</v>
      </c>
      <c r="F10" s="247"/>
      <c r="G10" s="247">
        <f>E10+F10</f>
        <v>325.88</v>
      </c>
    </row>
    <row r="11" spans="1:7" ht="17.25" customHeight="1" thickBot="1">
      <c r="A11" s="244" t="s">
        <v>313</v>
      </c>
      <c r="B11" s="246" t="s">
        <v>193</v>
      </c>
      <c r="C11" s="245" t="s">
        <v>4</v>
      </c>
      <c r="D11" s="245" t="s">
        <v>274</v>
      </c>
      <c r="E11" s="247">
        <v>73.8</v>
      </c>
      <c r="F11" s="247"/>
      <c r="G11" s="247">
        <f>E11+F11</f>
        <v>73.8</v>
      </c>
    </row>
    <row r="12" spans="1:7" ht="18" customHeight="1" thickBot="1">
      <c r="A12" s="244" t="s">
        <v>314</v>
      </c>
      <c r="B12" s="246" t="s">
        <v>193</v>
      </c>
      <c r="C12" s="245" t="s">
        <v>252</v>
      </c>
      <c r="D12" s="245" t="s">
        <v>288</v>
      </c>
      <c r="E12" s="247">
        <v>4804.8</v>
      </c>
      <c r="F12" s="247"/>
      <c r="G12" s="247">
        <f>E12+F12</f>
        <v>4804.8</v>
      </c>
    </row>
    <row r="13" spans="1:7" ht="18" customHeight="1" thickBot="1">
      <c r="A13" s="244" t="s">
        <v>315</v>
      </c>
      <c r="B13" s="246" t="s">
        <v>193</v>
      </c>
      <c r="C13" s="245" t="s">
        <v>253</v>
      </c>
      <c r="D13" s="245" t="s">
        <v>228</v>
      </c>
      <c r="E13" s="247">
        <v>70.349999999999994</v>
      </c>
      <c r="F13" s="247"/>
      <c r="G13" s="247">
        <f>E13+F13</f>
        <v>70.349999999999994</v>
      </c>
    </row>
    <row r="14" spans="1:7" ht="18" customHeight="1">
      <c r="A14" s="251"/>
      <c r="B14" s="252"/>
      <c r="C14" s="251"/>
      <c r="D14" s="251"/>
      <c r="E14" s="253"/>
      <c r="F14" s="253"/>
      <c r="G14" s="253"/>
    </row>
    <row r="15" spans="1:7" ht="18" customHeight="1"/>
    <row r="16" spans="1:7" ht="16.5" customHeight="1"/>
    <row r="17" spans="1:7" ht="15.75">
      <c r="A17" s="237"/>
    </row>
    <row r="18" spans="1:7" ht="18.75">
      <c r="A18" s="237" t="s">
        <v>277</v>
      </c>
      <c r="G18" s="248" t="s">
        <v>317</v>
      </c>
    </row>
    <row r="19" spans="1:7" ht="15.75">
      <c r="A19" s="238"/>
    </row>
    <row r="20" spans="1:7" ht="15.75">
      <c r="A20" s="249" t="s">
        <v>318</v>
      </c>
      <c r="B20" s="249"/>
      <c r="C20" s="249"/>
      <c r="D20" s="249"/>
      <c r="E20" s="249"/>
      <c r="F20" s="249"/>
      <c r="G20" s="248" t="s">
        <v>319</v>
      </c>
    </row>
    <row r="21" spans="1:7" ht="15.75">
      <c r="A21" s="237"/>
    </row>
    <row r="22" spans="1:7" ht="15.75">
      <c r="A22" s="237" t="s">
        <v>278</v>
      </c>
    </row>
  </sheetData>
  <mergeCells count="4">
    <mergeCell ref="A1:G1"/>
    <mergeCell ref="A3:G3"/>
    <mergeCell ref="D7:D8"/>
    <mergeCell ref="E7:G7"/>
  </mergeCells>
  <pageMargins left="0.7" right="0.7" top="0.75" bottom="0.75" header="0.3" footer="0.3"/>
  <pageSetup paperSize="9" orientation="landscape" r:id="rId1"/>
  <drawing r:id="rId2"/>
</worksheet>
</file>

<file path=xl/worksheets/sheet26.xml><?xml version="1.0" encoding="utf-8"?>
<worksheet xmlns="http://schemas.openxmlformats.org/spreadsheetml/2006/main" xmlns:r="http://schemas.openxmlformats.org/officeDocument/2006/relationships">
  <sheetPr>
    <pageSetUpPr fitToPage="1"/>
  </sheetPr>
  <dimension ref="A1:G22"/>
  <sheetViews>
    <sheetView topLeftCell="A4" workbookViewId="0">
      <selection sqref="A1:G23"/>
    </sheetView>
  </sheetViews>
  <sheetFormatPr defaultRowHeight="15"/>
  <cols>
    <col min="1" max="1" width="16" customWidth="1"/>
    <col min="3" max="3" width="30" customWidth="1"/>
    <col min="4" max="4" width="51" customWidth="1"/>
  </cols>
  <sheetData>
    <row r="1" spans="1:7" ht="21">
      <c r="A1" s="279" t="s">
        <v>115</v>
      </c>
      <c r="B1" s="279"/>
      <c r="C1" s="279"/>
      <c r="D1" s="279"/>
      <c r="E1" s="279"/>
      <c r="F1" s="279"/>
      <c r="G1" s="279"/>
    </row>
    <row r="2" spans="1:7" ht="15.75">
      <c r="A2" s="236"/>
    </row>
    <row r="3" spans="1:7" ht="21">
      <c r="A3" s="280" t="s">
        <v>260</v>
      </c>
      <c r="B3" s="280"/>
      <c r="C3" s="280"/>
      <c r="D3" s="280"/>
      <c r="E3" s="280"/>
      <c r="F3" s="280"/>
      <c r="G3" s="280"/>
    </row>
    <row r="4" spans="1:7" ht="15.75">
      <c r="A4" s="237"/>
    </row>
    <row r="5" spans="1:7" ht="15.75">
      <c r="A5" s="237" t="s">
        <v>329</v>
      </c>
    </row>
    <row r="6" spans="1:7" ht="16.5" thickBot="1">
      <c r="A6" s="238"/>
    </row>
    <row r="7" spans="1:7" ht="15.75" thickBot="1">
      <c r="A7" s="239" t="s">
        <v>261</v>
      </c>
      <c r="B7" s="240" t="s">
        <v>262</v>
      </c>
      <c r="C7" s="239" t="s">
        <v>48</v>
      </c>
      <c r="D7" s="281" t="s">
        <v>263</v>
      </c>
      <c r="E7" s="283" t="s">
        <v>264</v>
      </c>
      <c r="F7" s="284"/>
      <c r="G7" s="285"/>
    </row>
    <row r="8" spans="1:7" ht="15.75" thickBot="1">
      <c r="A8" s="241" t="s">
        <v>265</v>
      </c>
      <c r="B8" s="242" t="s">
        <v>265</v>
      </c>
      <c r="C8" s="241"/>
      <c r="D8" s="282"/>
      <c r="E8" s="243" t="s">
        <v>266</v>
      </c>
      <c r="F8" s="243" t="s">
        <v>15</v>
      </c>
      <c r="G8" s="243" t="s">
        <v>16</v>
      </c>
    </row>
    <row r="9" spans="1:7" ht="15.75" thickBot="1">
      <c r="A9" s="244" t="s">
        <v>323</v>
      </c>
      <c r="B9" s="246" t="s">
        <v>316</v>
      </c>
      <c r="C9" s="245" t="s">
        <v>287</v>
      </c>
      <c r="D9" s="245" t="s">
        <v>195</v>
      </c>
      <c r="E9" s="247">
        <v>148.72</v>
      </c>
      <c r="F9" s="247"/>
      <c r="G9" s="247">
        <f t="shared" ref="G9:G14" si="0">E9+F9</f>
        <v>148.72</v>
      </c>
    </row>
    <row r="10" spans="1:7" ht="15.75" thickBot="1">
      <c r="A10" s="244" t="s">
        <v>324</v>
      </c>
      <c r="B10" s="246" t="s">
        <v>193</v>
      </c>
      <c r="C10" s="245" t="s">
        <v>253</v>
      </c>
      <c r="D10" s="245" t="s">
        <v>272</v>
      </c>
      <c r="E10" s="247">
        <v>438.24</v>
      </c>
      <c r="F10" s="247"/>
      <c r="G10" s="247">
        <f t="shared" si="0"/>
        <v>438.24</v>
      </c>
    </row>
    <row r="11" spans="1:7" ht="15.75" thickBot="1">
      <c r="A11" s="244" t="s">
        <v>325</v>
      </c>
      <c r="B11" s="246" t="s">
        <v>193</v>
      </c>
      <c r="C11" s="245" t="s">
        <v>4</v>
      </c>
      <c r="D11" s="245" t="s">
        <v>274</v>
      </c>
      <c r="E11" s="247">
        <v>100</v>
      </c>
      <c r="F11" s="247"/>
      <c r="G11" s="247">
        <f t="shared" si="0"/>
        <v>100</v>
      </c>
    </row>
    <row r="12" spans="1:7" ht="15.75" thickBot="1">
      <c r="A12" s="244" t="s">
        <v>326</v>
      </c>
      <c r="B12" s="246" t="s">
        <v>193</v>
      </c>
      <c r="C12" s="245" t="s">
        <v>287</v>
      </c>
      <c r="D12" s="245" t="s">
        <v>195</v>
      </c>
      <c r="E12" s="247">
        <v>188.72</v>
      </c>
      <c r="F12" s="247"/>
      <c r="G12" s="247">
        <f t="shared" si="0"/>
        <v>188.72</v>
      </c>
    </row>
    <row r="13" spans="1:7" ht="15.75" thickBot="1">
      <c r="A13" s="244" t="s">
        <v>327</v>
      </c>
      <c r="B13" s="246" t="s">
        <v>193</v>
      </c>
      <c r="C13" s="245" t="s">
        <v>253</v>
      </c>
      <c r="D13" s="245" t="s">
        <v>272</v>
      </c>
      <c r="E13" s="247">
        <v>326.83999999999997</v>
      </c>
      <c r="F13" s="247"/>
      <c r="G13" s="247">
        <f t="shared" si="0"/>
        <v>326.83999999999997</v>
      </c>
    </row>
    <row r="14" spans="1:7" ht="15.75" thickBot="1">
      <c r="A14" s="244" t="s">
        <v>328</v>
      </c>
      <c r="B14" s="246" t="s">
        <v>193</v>
      </c>
      <c r="C14" s="245" t="s">
        <v>4</v>
      </c>
      <c r="D14" s="245" t="s">
        <v>274</v>
      </c>
      <c r="E14" s="247">
        <v>77</v>
      </c>
      <c r="F14" s="247"/>
      <c r="G14" s="247">
        <f t="shared" si="0"/>
        <v>77</v>
      </c>
    </row>
    <row r="17" spans="1:7" ht="15.75">
      <c r="A17" s="237"/>
    </row>
    <row r="18" spans="1:7" ht="18.75">
      <c r="A18" s="237" t="s">
        <v>277</v>
      </c>
      <c r="G18" s="248" t="s">
        <v>331</v>
      </c>
    </row>
    <row r="19" spans="1:7" ht="15.75">
      <c r="A19" s="238"/>
    </row>
    <row r="20" spans="1:7" ht="15.75">
      <c r="A20" s="249" t="s">
        <v>330</v>
      </c>
      <c r="B20" s="249"/>
      <c r="C20" s="249"/>
      <c r="D20" s="249"/>
      <c r="E20" s="249"/>
      <c r="F20" s="249"/>
      <c r="G20" s="248" t="s">
        <v>332</v>
      </c>
    </row>
    <row r="21" spans="1:7" ht="15.75">
      <c r="A21" s="237"/>
    </row>
    <row r="22" spans="1:7" ht="15.75">
      <c r="A22" s="237" t="s">
        <v>278</v>
      </c>
    </row>
  </sheetData>
  <mergeCells count="4">
    <mergeCell ref="A1:G1"/>
    <mergeCell ref="A3:G3"/>
    <mergeCell ref="D7:D8"/>
    <mergeCell ref="E7:G7"/>
  </mergeCells>
  <pageMargins left="0.70866141732283472" right="0.70866141732283472" top="0.74803149606299213" bottom="0.74803149606299213" header="0.31496062992125984" footer="0.31496062992125984"/>
  <pageSetup paperSize="9" scale="98" orientation="landscape" r:id="rId1"/>
  <drawing r:id="rId2"/>
</worksheet>
</file>

<file path=xl/worksheets/sheet27.xml><?xml version="1.0" encoding="utf-8"?>
<worksheet xmlns="http://schemas.openxmlformats.org/spreadsheetml/2006/main" xmlns:r="http://schemas.openxmlformats.org/officeDocument/2006/relationships">
  <dimension ref="A1:G23"/>
  <sheetViews>
    <sheetView topLeftCell="A5" workbookViewId="0">
      <selection sqref="A1:G24"/>
    </sheetView>
  </sheetViews>
  <sheetFormatPr defaultRowHeight="15"/>
  <cols>
    <col min="1" max="1" width="16.140625" customWidth="1"/>
    <col min="3" max="3" width="18.140625" customWidth="1"/>
    <col min="4" max="4" width="25.42578125" customWidth="1"/>
  </cols>
  <sheetData>
    <row r="1" spans="1:7" ht="21">
      <c r="A1" s="279" t="s">
        <v>115</v>
      </c>
      <c r="B1" s="279"/>
      <c r="C1" s="279"/>
      <c r="D1" s="279"/>
      <c r="E1" s="279"/>
      <c r="F1" s="279"/>
      <c r="G1" s="279"/>
    </row>
    <row r="2" spans="1:7" ht="15.75">
      <c r="A2" s="236"/>
    </row>
    <row r="3" spans="1:7" ht="21">
      <c r="A3" s="280" t="s">
        <v>260</v>
      </c>
      <c r="B3" s="280"/>
      <c r="C3" s="280"/>
      <c r="D3" s="280"/>
      <c r="E3" s="280"/>
      <c r="F3" s="280"/>
      <c r="G3" s="280"/>
    </row>
    <row r="4" spans="1:7" ht="15.75">
      <c r="A4" s="237"/>
    </row>
    <row r="5" spans="1:7" ht="15.75">
      <c r="A5" s="237" t="s">
        <v>337</v>
      </c>
    </row>
    <row r="6" spans="1:7" ht="16.5" thickBot="1">
      <c r="A6" s="238"/>
    </row>
    <row r="7" spans="1:7" ht="15.75" thickBot="1">
      <c r="A7" s="239" t="s">
        <v>261</v>
      </c>
      <c r="B7" s="240" t="s">
        <v>262</v>
      </c>
      <c r="C7" s="239" t="s">
        <v>48</v>
      </c>
      <c r="D7" s="281" t="s">
        <v>263</v>
      </c>
      <c r="E7" s="283" t="s">
        <v>264</v>
      </c>
      <c r="F7" s="284"/>
      <c r="G7" s="285"/>
    </row>
    <row r="8" spans="1:7" ht="15.75" thickBot="1">
      <c r="A8" s="241" t="s">
        <v>265</v>
      </c>
      <c r="B8" s="242" t="s">
        <v>265</v>
      </c>
      <c r="C8" s="241"/>
      <c r="D8" s="282"/>
      <c r="E8" s="243" t="s">
        <v>266</v>
      </c>
      <c r="F8" s="243" t="s">
        <v>15</v>
      </c>
      <c r="G8" s="243" t="s">
        <v>16</v>
      </c>
    </row>
    <row r="9" spans="1:7" ht="15.75" thickBot="1">
      <c r="A9" s="244" t="s">
        <v>333</v>
      </c>
      <c r="B9" s="246" t="s">
        <v>316</v>
      </c>
      <c r="C9" s="245" t="s">
        <v>287</v>
      </c>
      <c r="D9" s="245" t="s">
        <v>195</v>
      </c>
      <c r="E9" s="247">
        <v>148.72</v>
      </c>
      <c r="F9" s="247"/>
      <c r="G9" s="247">
        <f t="shared" ref="G9:G14" si="0">E9+F9</f>
        <v>148.72</v>
      </c>
    </row>
    <row r="10" spans="1:7" ht="15.75" thickBot="1">
      <c r="A10" s="244" t="s">
        <v>334</v>
      </c>
      <c r="B10" s="246" t="s">
        <v>193</v>
      </c>
      <c r="C10" s="245" t="s">
        <v>253</v>
      </c>
      <c r="D10" s="245" t="s">
        <v>272</v>
      </c>
      <c r="E10" s="247">
        <v>323.64</v>
      </c>
      <c r="F10" s="247"/>
      <c r="G10" s="247">
        <f t="shared" si="0"/>
        <v>323.64</v>
      </c>
    </row>
    <row r="11" spans="1:7" ht="15.75" thickBot="1">
      <c r="A11" s="244" t="s">
        <v>335</v>
      </c>
      <c r="B11" s="246" t="s">
        <v>193</v>
      </c>
      <c r="C11" s="245" t="s">
        <v>4</v>
      </c>
      <c r="D11" s="245" t="s">
        <v>274</v>
      </c>
      <c r="E11" s="247">
        <v>77.2</v>
      </c>
      <c r="F11" s="247"/>
      <c r="G11" s="247">
        <f t="shared" si="0"/>
        <v>77.2</v>
      </c>
    </row>
    <row r="12" spans="1:7" ht="15.75" thickBot="1">
      <c r="A12" s="244" t="s">
        <v>336</v>
      </c>
      <c r="B12" s="246" t="s">
        <v>193</v>
      </c>
      <c r="C12" s="245" t="s">
        <v>239</v>
      </c>
      <c r="D12" s="245" t="s">
        <v>64</v>
      </c>
      <c r="E12" s="247">
        <v>143.86000000000001</v>
      </c>
      <c r="F12" s="247"/>
      <c r="G12" s="247">
        <f t="shared" si="0"/>
        <v>143.86000000000001</v>
      </c>
    </row>
    <row r="13" spans="1:7" ht="15.75" thickBot="1">
      <c r="A13" s="244" t="s">
        <v>343</v>
      </c>
      <c r="B13" s="246" t="s">
        <v>193</v>
      </c>
      <c r="C13" s="245" t="s">
        <v>205</v>
      </c>
      <c r="D13" s="245" t="s">
        <v>194</v>
      </c>
      <c r="E13" s="247">
        <v>92.55</v>
      </c>
      <c r="F13" s="247">
        <v>18.510000000000002</v>
      </c>
      <c r="G13" s="247">
        <f t="shared" si="0"/>
        <v>111.06</v>
      </c>
    </row>
    <row r="14" spans="1:7" ht="15.75" thickBot="1">
      <c r="A14" s="244" t="s">
        <v>344</v>
      </c>
      <c r="B14" s="246" t="s">
        <v>193</v>
      </c>
      <c r="C14" s="245" t="s">
        <v>224</v>
      </c>
      <c r="D14" s="245" t="s">
        <v>8</v>
      </c>
      <c r="E14" s="247">
        <v>250</v>
      </c>
      <c r="F14" s="247">
        <v>50</v>
      </c>
      <c r="G14" s="247">
        <f t="shared" si="0"/>
        <v>300</v>
      </c>
    </row>
    <row r="15" spans="1:7">
      <c r="A15" s="251"/>
      <c r="B15" s="252"/>
      <c r="C15" s="251"/>
      <c r="D15" s="251"/>
      <c r="E15" s="253"/>
      <c r="F15" s="253"/>
      <c r="G15" s="253"/>
    </row>
    <row r="16" spans="1:7">
      <c r="A16" s="251"/>
      <c r="B16" s="252"/>
      <c r="C16" s="251"/>
      <c r="D16" s="251"/>
      <c r="E16" s="253"/>
      <c r="F16" s="253"/>
      <c r="G16" s="253"/>
    </row>
    <row r="18" spans="1:7" ht="15.75">
      <c r="A18" s="237"/>
    </row>
    <row r="19" spans="1:7" ht="18.75">
      <c r="A19" s="237" t="s">
        <v>277</v>
      </c>
      <c r="G19" s="248" t="s">
        <v>338</v>
      </c>
    </row>
    <row r="20" spans="1:7" ht="15.75">
      <c r="A20" s="238"/>
    </row>
    <row r="21" spans="1:7" ht="15.75">
      <c r="A21" s="249" t="s">
        <v>339</v>
      </c>
      <c r="B21" s="249"/>
      <c r="C21" s="249"/>
      <c r="D21" s="249"/>
      <c r="E21" s="249"/>
      <c r="F21" s="249"/>
      <c r="G21" s="248" t="s">
        <v>340</v>
      </c>
    </row>
    <row r="22" spans="1:7" ht="15.75">
      <c r="A22" s="237"/>
    </row>
    <row r="23" spans="1:7" ht="15.75">
      <c r="A23" s="237" t="s">
        <v>278</v>
      </c>
    </row>
  </sheetData>
  <mergeCells count="4">
    <mergeCell ref="A1:G1"/>
    <mergeCell ref="A3:G3"/>
    <mergeCell ref="D7:D8"/>
    <mergeCell ref="E7:G7"/>
  </mergeCells>
  <pageMargins left="0.70866141732283472" right="0.70866141732283472"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sheetPr>
    <pageSetUpPr fitToPage="1"/>
  </sheetPr>
  <dimension ref="A1:C49"/>
  <sheetViews>
    <sheetView workbookViewId="0">
      <selection activeCell="C50" sqref="A1:C50"/>
    </sheetView>
  </sheetViews>
  <sheetFormatPr defaultRowHeight="15"/>
  <cols>
    <col min="1" max="1" width="71.28515625" bestFit="1" customWidth="1"/>
    <col min="2" max="3" width="12.7109375" bestFit="1" customWidth="1"/>
  </cols>
  <sheetData>
    <row r="1" spans="1:3" ht="18.75">
      <c r="A1" s="278" t="s">
        <v>115</v>
      </c>
      <c r="B1" s="278"/>
      <c r="C1" s="278"/>
    </row>
    <row r="2" spans="1:3" ht="18.75">
      <c r="A2" s="278" t="s">
        <v>84</v>
      </c>
      <c r="B2" s="278"/>
      <c r="C2" s="278"/>
    </row>
    <row r="3" spans="1:3" ht="18.75">
      <c r="A3" s="278" t="s">
        <v>341</v>
      </c>
      <c r="B3" s="278"/>
      <c r="C3" s="278"/>
    </row>
    <row r="4" spans="1:3" ht="15.75">
      <c r="A4" s="75"/>
      <c r="B4" s="74"/>
      <c r="C4" s="74"/>
    </row>
    <row r="5" spans="1:3" ht="18.75">
      <c r="A5" s="76" t="s">
        <v>85</v>
      </c>
      <c r="B5" s="74"/>
      <c r="C5" s="74"/>
    </row>
    <row r="6" spans="1:3" ht="15.75">
      <c r="A6" s="75"/>
      <c r="B6" s="74"/>
      <c r="C6" s="74"/>
    </row>
    <row r="7" spans="1:3" ht="15.75">
      <c r="A7" s="77" t="s">
        <v>86</v>
      </c>
      <c r="B7" s="75"/>
      <c r="C7" s="75"/>
    </row>
    <row r="8" spans="1:3" ht="15.75">
      <c r="A8" s="75" t="s">
        <v>119</v>
      </c>
      <c r="B8" s="150">
        <f>2*12553</f>
        <v>25106</v>
      </c>
      <c r="C8" s="150"/>
    </row>
    <row r="9" spans="1:3" ht="15.75">
      <c r="A9" s="75" t="s">
        <v>136</v>
      </c>
      <c r="B9" s="150">
        <f>1371.15+1906.8</f>
        <v>3277.95</v>
      </c>
      <c r="C9" s="150"/>
    </row>
    <row r="10" spans="1:3" ht="15.75">
      <c r="A10" s="75" t="s">
        <v>166</v>
      </c>
      <c r="B10" s="150">
        <v>2578.04</v>
      </c>
      <c r="C10" s="150"/>
    </row>
    <row r="11" spans="1:3" ht="15.75">
      <c r="A11" s="75" t="s">
        <v>5</v>
      </c>
      <c r="B11" s="150">
        <v>0.42</v>
      </c>
      <c r="C11" s="150"/>
    </row>
    <row r="12" spans="1:3" ht="15.75">
      <c r="A12" s="79"/>
      <c r="B12" s="161">
        <f>SUM(B8:B11)</f>
        <v>30962.41</v>
      </c>
      <c r="C12" s="150"/>
    </row>
    <row r="13" spans="1:3" ht="15.75">
      <c r="A13" s="79"/>
      <c r="B13" s="162"/>
      <c r="C13" s="150"/>
    </row>
    <row r="14" spans="1:3" ht="15.75">
      <c r="A14" s="77" t="s">
        <v>87</v>
      </c>
      <c r="B14" s="150"/>
      <c r="C14" s="150"/>
    </row>
    <row r="15" spans="1:3" ht="15.75">
      <c r="A15" s="75" t="s">
        <v>88</v>
      </c>
      <c r="B15" s="155">
        <f>'Budget over Expenditure 23-24'!C6+'Budget over Expenditure 23-24'!D6+'Budget over Expenditure 23-24'!E6+'Budget over Expenditure 23-24'!F6+'Budget over Expenditure 23-24'!G6+'Budget over Expenditure 23-24'!H6+'Budget over Expenditure 23-24'!I6+'Budget over Expenditure 23-24'!J6+'Budget over Expenditure 23-24'!K6</f>
        <v>162</v>
      </c>
      <c r="C15" s="150"/>
    </row>
    <row r="16" spans="1:3" ht="15.75">
      <c r="A16" s="75" t="s">
        <v>117</v>
      </c>
      <c r="B16" s="155">
        <f>'Budget over Expenditure 23-24'!C5+'Budget over Expenditure 23-24'!D5+'Budget over Expenditure 23-24'!E5+'Budget over Expenditure 23-24'!F5+'Budget over Expenditure 23-24'!G5+'Budget over Expenditure 23-24'!H5+'Budget over Expenditure 23-24'!I5+'Budget over Expenditure 23-24'!J5+'Budget over Expenditure 23-24'!K5</f>
        <v>1378.48</v>
      </c>
      <c r="C16" s="150"/>
    </row>
    <row r="17" spans="1:3" ht="15.75">
      <c r="A17" s="75" t="s">
        <v>89</v>
      </c>
      <c r="B17" s="155">
        <f>'Budget over Expenditure 23-24'!C9+'Budget over Expenditure 23-24'!D9+'Budget over Expenditure 23-24'!E9+'Budget over Expenditure 23-24'!F9+'Budget over Expenditure 23-24'!G9+'Budget over Expenditure 23-24'!H9+'Budget over Expenditure 23-24'!I9+'Budget over Expenditure 23-24'!J9+'Budget over Expenditure 23-24'!K9</f>
        <v>2823.44</v>
      </c>
      <c r="C17" s="150"/>
    </row>
    <row r="18" spans="1:3" ht="15.75">
      <c r="A18" s="75" t="s">
        <v>256</v>
      </c>
      <c r="B18" s="155">
        <v>28.78</v>
      </c>
      <c r="C18" s="150"/>
    </row>
    <row r="19" spans="1:3" ht="15.75">
      <c r="A19" s="75" t="s">
        <v>9</v>
      </c>
      <c r="B19" s="155">
        <v>639.86</v>
      </c>
      <c r="C19" s="150"/>
    </row>
    <row r="20" spans="1:3" ht="15.75">
      <c r="A20" s="75" t="s">
        <v>196</v>
      </c>
      <c r="B20" s="155">
        <f>'Budget over Expenditure 23-24'!D15+'Budget over Expenditure 23-24'!F15+'Budget over Expenditure 23-24'!G15</f>
        <v>3932.16</v>
      </c>
      <c r="C20" s="150"/>
    </row>
    <row r="21" spans="1:3" ht="15.75">
      <c r="A21" s="75" t="s">
        <v>6</v>
      </c>
      <c r="B21" s="155">
        <v>60</v>
      </c>
      <c r="C21" s="150"/>
    </row>
    <row r="22" spans="1:3" ht="15.75">
      <c r="A22" s="75" t="s">
        <v>122</v>
      </c>
      <c r="B22" s="155">
        <f>'Budget over Expenditure 23-24'!I11+4345.2</f>
        <v>9150</v>
      </c>
      <c r="C22" s="150"/>
    </row>
    <row r="23" spans="1:3" ht="15.75">
      <c r="A23" s="82" t="s">
        <v>7</v>
      </c>
      <c r="B23" s="156">
        <v>545.57000000000005</v>
      </c>
      <c r="C23" s="150"/>
    </row>
    <row r="24" spans="1:3" ht="15.75">
      <c r="A24" s="82" t="s">
        <v>205</v>
      </c>
      <c r="B24" s="156">
        <f>'Budget over Expenditure 23-24'!F14</f>
        <v>111.06</v>
      </c>
      <c r="C24" s="150"/>
    </row>
    <row r="25" spans="1:3" ht="15.75">
      <c r="A25" s="82" t="s">
        <v>322</v>
      </c>
      <c r="B25" s="156">
        <f>'Budget over Expenditure 23-24'!I13</f>
        <v>218.85</v>
      </c>
      <c r="C25" s="150"/>
    </row>
    <row r="26" spans="1:3" ht="15.75">
      <c r="A26" s="82" t="s">
        <v>308</v>
      </c>
      <c r="B26" s="156">
        <f>'Budget over Expenditure 23-24'!F13</f>
        <v>117.6</v>
      </c>
      <c r="C26" s="150"/>
    </row>
    <row r="27" spans="1:3" ht="15.75">
      <c r="A27" s="82" t="s">
        <v>191</v>
      </c>
      <c r="B27" s="156">
        <f>'Budget over Expenditure 23-24'!I14</f>
        <v>70.349999999999994</v>
      </c>
      <c r="C27" s="150"/>
    </row>
    <row r="28" spans="1:3" ht="15.75">
      <c r="A28" s="82" t="s">
        <v>64</v>
      </c>
      <c r="B28" s="156">
        <v>143.86000000000001</v>
      </c>
      <c r="C28" s="150"/>
    </row>
    <row r="29" spans="1:3" ht="15.75">
      <c r="A29" s="82" t="s">
        <v>4</v>
      </c>
      <c r="B29" s="156">
        <f>'Budget over Expenditure 23-24'!C7+'Budget over Expenditure 23-24'!D7+'Budget over Expenditure 23-24'!E7+'Budget over Expenditure 23-24'!F7+'Budget over Expenditure 23-24'!G7+'Budget over Expenditure 23-24'!H7+'Budget over Expenditure 23-24'!I7+'Budget over Expenditure 23-24'!J7+'Budget over Expenditure 23-24'!K7</f>
        <v>694.2</v>
      </c>
      <c r="C29" s="150"/>
    </row>
    <row r="30" spans="1:3" ht="15.75">
      <c r="A30" s="82"/>
      <c r="B30" s="151">
        <f>SUM(B15:B29)</f>
        <v>20076.21</v>
      </c>
      <c r="C30" s="163"/>
    </row>
    <row r="31" spans="1:3">
      <c r="A31" s="84"/>
      <c r="B31" s="163"/>
      <c r="C31" s="163"/>
    </row>
    <row r="32" spans="1:3" ht="15.75">
      <c r="A32" s="77" t="s">
        <v>90</v>
      </c>
      <c r="B32" s="150"/>
      <c r="C32" s="150"/>
    </row>
    <row r="33" spans="1:3" ht="15.75">
      <c r="A33" s="75" t="s">
        <v>258</v>
      </c>
      <c r="B33" s="150">
        <f>23527.07+25.85</f>
        <v>23552.92</v>
      </c>
      <c r="C33" s="162"/>
    </row>
    <row r="34" spans="1:3" ht="15.75">
      <c r="A34" s="75" t="s">
        <v>342</v>
      </c>
      <c r="B34" s="150">
        <f>B12-B30</f>
        <v>10886.2</v>
      </c>
      <c r="C34" s="150"/>
    </row>
    <row r="35" spans="1:3" ht="16.5" thickBot="1">
      <c r="A35" s="77" t="s">
        <v>16</v>
      </c>
      <c r="B35" s="164"/>
      <c r="C35" s="165">
        <f>SUM(B33:B34)</f>
        <v>34439.119999999995</v>
      </c>
    </row>
    <row r="36" spans="1:3" ht="16.5" thickTop="1">
      <c r="A36" s="77"/>
      <c r="B36" s="150"/>
      <c r="C36" s="150"/>
    </row>
    <row r="37" spans="1:3" ht="15.75">
      <c r="A37" s="77" t="s">
        <v>91</v>
      </c>
      <c r="B37" s="150"/>
      <c r="C37" s="150"/>
    </row>
    <row r="38" spans="1:3" ht="15.75">
      <c r="A38" s="77"/>
      <c r="B38" s="150"/>
      <c r="C38" s="150"/>
    </row>
    <row r="39" spans="1:3" ht="15.75">
      <c r="A39" s="77"/>
      <c r="B39" s="150"/>
      <c r="C39" s="150"/>
    </row>
    <row r="40" spans="1:3" ht="15.75">
      <c r="A40" s="75" t="s">
        <v>206</v>
      </c>
      <c r="B40" s="166">
        <v>34412.85</v>
      </c>
      <c r="C40" s="150"/>
    </row>
    <row r="41" spans="1:3" ht="15.75">
      <c r="A41" s="75" t="s">
        <v>207</v>
      </c>
      <c r="B41" s="162">
        <v>26.27</v>
      </c>
      <c r="C41" s="150"/>
    </row>
    <row r="42" spans="1:3" ht="16.5" thickBot="1">
      <c r="A42" s="90"/>
      <c r="B42" s="167"/>
      <c r="C42" s="168">
        <f>SUM(B40:B41)</f>
        <v>34439.119999999995</v>
      </c>
    </row>
    <row r="43" spans="1:3" ht="15.75">
      <c r="A43" s="75"/>
      <c r="B43" s="150"/>
      <c r="C43" s="150"/>
    </row>
    <row r="44" spans="1:3" ht="15.75">
      <c r="A44" s="77" t="s">
        <v>93</v>
      </c>
      <c r="B44" s="150"/>
      <c r="C44" s="150"/>
    </row>
    <row r="45" spans="1:3" ht="15.75">
      <c r="A45" s="82"/>
      <c r="B45" s="169"/>
      <c r="C45" s="150"/>
    </row>
    <row r="46" spans="1:3" ht="15.75">
      <c r="A46" s="82"/>
      <c r="B46" s="169"/>
      <c r="C46" s="150"/>
    </row>
    <row r="47" spans="1:3" ht="15.75">
      <c r="A47" s="82"/>
      <c r="B47" s="169"/>
      <c r="C47" s="150"/>
    </row>
    <row r="48" spans="1:3" ht="16.5" thickBot="1">
      <c r="A48" s="82"/>
      <c r="B48" s="169"/>
      <c r="C48" s="165">
        <f>C42-SUM(B45:B50)</f>
        <v>34439.119999999995</v>
      </c>
    </row>
    <row r="49" ht="15.75" thickTop="1"/>
  </sheetData>
  <mergeCells count="3">
    <mergeCell ref="A1:C1"/>
    <mergeCell ref="A2:C2"/>
    <mergeCell ref="A3:C3"/>
  </mergeCells>
  <pageMargins left="0.70866141732283472" right="0.70866141732283472" top="0.74803149606299213" bottom="0.74803149606299213" header="0.31496062992125984" footer="0.31496062992125984"/>
  <pageSetup paperSize="9" scale="90" orientation="portrait" r:id="rId1"/>
</worksheet>
</file>

<file path=xl/worksheets/sheet29.xml><?xml version="1.0" encoding="utf-8"?>
<worksheet xmlns="http://schemas.openxmlformats.org/spreadsheetml/2006/main" xmlns:r="http://schemas.openxmlformats.org/officeDocument/2006/relationships">
  <sheetPr>
    <pageSetUpPr fitToPage="1"/>
  </sheetPr>
  <dimension ref="A1:C48"/>
  <sheetViews>
    <sheetView topLeftCell="A31" workbookViewId="0">
      <selection sqref="A1:C48"/>
    </sheetView>
  </sheetViews>
  <sheetFormatPr defaultRowHeight="15"/>
  <cols>
    <col min="1" max="1" width="64.140625" customWidth="1"/>
    <col min="2" max="3" width="12.7109375" bestFit="1" customWidth="1"/>
  </cols>
  <sheetData>
    <row r="1" spans="1:3" ht="18.75">
      <c r="A1" s="278" t="s">
        <v>115</v>
      </c>
      <c r="B1" s="278"/>
      <c r="C1" s="278"/>
    </row>
    <row r="2" spans="1:3" ht="18.75">
      <c r="A2" s="278" t="s">
        <v>84</v>
      </c>
      <c r="B2" s="278"/>
      <c r="C2" s="278"/>
    </row>
    <row r="3" spans="1:3" ht="18.75">
      <c r="A3" s="278" t="s">
        <v>345</v>
      </c>
      <c r="B3" s="278"/>
      <c r="C3" s="278"/>
    </row>
    <row r="4" spans="1:3" ht="15.75">
      <c r="A4" s="75"/>
      <c r="B4" s="74"/>
      <c r="C4" s="74"/>
    </row>
    <row r="5" spans="1:3" ht="18.75">
      <c r="A5" s="76" t="s">
        <v>85</v>
      </c>
      <c r="B5" s="74"/>
      <c r="C5" s="74"/>
    </row>
    <row r="6" spans="1:3" ht="15.75">
      <c r="A6" s="75"/>
      <c r="B6" s="74"/>
      <c r="C6" s="74"/>
    </row>
    <row r="7" spans="1:3" ht="15.75">
      <c r="A7" s="77" t="s">
        <v>86</v>
      </c>
      <c r="B7" s="75"/>
      <c r="C7" s="75"/>
    </row>
    <row r="8" spans="1:3" ht="15.75">
      <c r="A8" s="75" t="s">
        <v>119</v>
      </c>
      <c r="B8" s="150">
        <f>2*12553</f>
        <v>25106</v>
      </c>
      <c r="C8" s="150"/>
    </row>
    <row r="9" spans="1:3" ht="15.75">
      <c r="A9" s="75" t="s">
        <v>136</v>
      </c>
      <c r="B9" s="150">
        <f>1371.15+1906.8</f>
        <v>3277.95</v>
      </c>
      <c r="C9" s="150"/>
    </row>
    <row r="10" spans="1:3" ht="15.75">
      <c r="A10" s="75" t="s">
        <v>166</v>
      </c>
      <c r="B10" s="150">
        <v>2578.04</v>
      </c>
      <c r="C10" s="150"/>
    </row>
    <row r="11" spans="1:3" ht="15.75">
      <c r="A11" s="75" t="s">
        <v>5</v>
      </c>
      <c r="B11" s="150">
        <v>0.42</v>
      </c>
      <c r="C11" s="150"/>
    </row>
    <row r="12" spans="1:3" ht="15.75">
      <c r="A12" s="79"/>
      <c r="B12" s="161">
        <f>SUM(B8:B11)</f>
        <v>30962.41</v>
      </c>
      <c r="C12" s="150"/>
    </row>
    <row r="13" spans="1:3" ht="15.75">
      <c r="A13" s="79"/>
      <c r="B13" s="162"/>
      <c r="C13" s="150"/>
    </row>
    <row r="14" spans="1:3" ht="15.75">
      <c r="A14" s="77" t="s">
        <v>87</v>
      </c>
      <c r="B14" s="150"/>
      <c r="C14" s="150"/>
    </row>
    <row r="15" spans="1:3" ht="15.75">
      <c r="A15" s="75" t="s">
        <v>88</v>
      </c>
      <c r="B15" s="155">
        <f>'Budget over Expenditure 23-24'!C6+'Budget over Expenditure 23-24'!D6+'Budget over Expenditure 23-24'!E6+'Budget over Expenditure 23-24'!F6+'Budget over Expenditure 23-24'!G6+'Budget over Expenditure 23-24'!H6+'Budget over Expenditure 23-24'!I6+'Budget over Expenditure 23-24'!J6+'Budget over Expenditure 23-24'!K6+'Budget over Expenditure 23-24'!L6</f>
        <v>180</v>
      </c>
      <c r="C15" s="150"/>
    </row>
    <row r="16" spans="1:3" ht="15.75">
      <c r="A16" s="75" t="s">
        <v>117</v>
      </c>
      <c r="B16" s="155">
        <f>'Budget over Expenditure 23-24'!C5+'Budget over Expenditure 23-24'!D5+'Budget over Expenditure 23-24'!E5+'Budget over Expenditure 23-24'!F5+'Budget over Expenditure 23-24'!G5+'Budget over Expenditure 23-24'!H5+'Budget over Expenditure 23-24'!I5+'Budget over Expenditure 23-24'!J5+'Budget over Expenditure 23-24'!K5+'Budget over Expenditure 23-24'!L5</f>
        <v>1527.2</v>
      </c>
      <c r="C16" s="150"/>
    </row>
    <row r="17" spans="1:3" ht="15.75">
      <c r="A17" s="75" t="s">
        <v>89</v>
      </c>
      <c r="B17" s="155">
        <f>'Budget over Expenditure 23-24'!C9+'Budget over Expenditure 23-24'!D9+'Budget over Expenditure 23-24'!E9+'Budget over Expenditure 23-24'!F9+'Budget over Expenditure 23-24'!G9+'Budget over Expenditure 23-24'!H9+'Budget over Expenditure 23-24'!I9+'Budget over Expenditure 23-24'!J9+'Budget over Expenditure 23-24'!K9+'Budget over Expenditure 23-24'!L9</f>
        <v>3129.08</v>
      </c>
      <c r="C17" s="150"/>
    </row>
    <row r="18" spans="1:3" ht="15.75">
      <c r="A18" s="75" t="s">
        <v>256</v>
      </c>
      <c r="B18" s="155">
        <v>28.78</v>
      </c>
      <c r="C18" s="150"/>
    </row>
    <row r="19" spans="1:3" ht="15.75">
      <c r="A19" s="75" t="s">
        <v>9</v>
      </c>
      <c r="B19" s="155">
        <v>639.86</v>
      </c>
      <c r="C19" s="150"/>
    </row>
    <row r="20" spans="1:3" ht="15.75">
      <c r="A20" s="75" t="s">
        <v>196</v>
      </c>
      <c r="B20" s="155">
        <f>'Budget over Expenditure 23-24'!D15+'Budget over Expenditure 23-24'!F15+'Budget over Expenditure 23-24'!G15</f>
        <v>3932.16</v>
      </c>
      <c r="C20" s="150"/>
    </row>
    <row r="21" spans="1:3" ht="15.75">
      <c r="A21" s="75" t="s">
        <v>6</v>
      </c>
      <c r="B21" s="155">
        <v>60</v>
      </c>
      <c r="C21" s="150"/>
    </row>
    <row r="22" spans="1:3" ht="15.75">
      <c r="A22" s="75" t="s">
        <v>122</v>
      </c>
      <c r="B22" s="155">
        <f>'Budget over Expenditure 23-24'!I11+4345.2</f>
        <v>9150</v>
      </c>
      <c r="C22" s="150"/>
    </row>
    <row r="23" spans="1:3" ht="15.75">
      <c r="A23" s="82" t="s">
        <v>7</v>
      </c>
      <c r="B23" s="156">
        <v>545.57000000000005</v>
      </c>
      <c r="C23" s="150"/>
    </row>
    <row r="24" spans="1:3" ht="15.75">
      <c r="A24" s="82" t="s">
        <v>205</v>
      </c>
      <c r="B24" s="156">
        <f>'Budget over Expenditure 23-24'!F14+'Budget over Expenditure 23-24'!L14</f>
        <v>222.12</v>
      </c>
      <c r="C24" s="150"/>
    </row>
    <row r="25" spans="1:3" ht="15.75">
      <c r="A25" s="82" t="s">
        <v>322</v>
      </c>
      <c r="B25" s="156">
        <f>'Budget over Expenditure 23-24'!I13</f>
        <v>218.85</v>
      </c>
      <c r="C25" s="150"/>
    </row>
    <row r="26" spans="1:3" ht="15.75">
      <c r="A26" s="82" t="s">
        <v>308</v>
      </c>
      <c r="B26" s="156">
        <f>'Budget over Expenditure 23-24'!F13</f>
        <v>117.6</v>
      </c>
      <c r="C26" s="150"/>
    </row>
    <row r="27" spans="1:3" ht="15.75">
      <c r="A27" s="82" t="s">
        <v>191</v>
      </c>
      <c r="B27" s="156">
        <f>'Budget over Expenditure 23-24'!I14</f>
        <v>70.349999999999994</v>
      </c>
      <c r="C27" s="150"/>
    </row>
    <row r="28" spans="1:3" ht="15.75">
      <c r="A28" s="82" t="s">
        <v>64</v>
      </c>
      <c r="B28" s="156">
        <v>143.86000000000001</v>
      </c>
      <c r="C28" s="150"/>
    </row>
    <row r="29" spans="1:3" ht="15.75">
      <c r="A29" s="82" t="s">
        <v>8</v>
      </c>
      <c r="B29" s="156">
        <v>300</v>
      </c>
      <c r="C29" s="150"/>
    </row>
    <row r="30" spans="1:3" ht="15.75">
      <c r="A30" s="82" t="s">
        <v>4</v>
      </c>
      <c r="B30" s="156">
        <f>'Budget over Expenditure 23-24'!C7+'Budget over Expenditure 23-24'!D7+'Budget over Expenditure 23-24'!E7+'Budget over Expenditure 23-24'!F7+'Budget over Expenditure 23-24'!G7+'Budget over Expenditure 23-24'!H7+'Budget over Expenditure 23-24'!I7+'Budget over Expenditure 23-24'!J7+'Budget over Expenditure 23-24'!K7+'Budget over Expenditure 23-24'!L7</f>
        <v>771.40000000000009</v>
      </c>
      <c r="C30" s="150"/>
    </row>
    <row r="31" spans="1:3" ht="15.75">
      <c r="A31" s="82"/>
      <c r="B31" s="151">
        <f>SUM(B15:B30)</f>
        <v>21036.829999999994</v>
      </c>
      <c r="C31" s="163"/>
    </row>
    <row r="32" spans="1:3">
      <c r="A32" s="84"/>
      <c r="B32" s="163"/>
      <c r="C32" s="163"/>
    </row>
    <row r="33" spans="1:3" ht="15.75">
      <c r="A33" s="77" t="s">
        <v>90</v>
      </c>
      <c r="B33" s="150"/>
      <c r="C33" s="150"/>
    </row>
    <row r="34" spans="1:3" ht="15.75">
      <c r="A34" s="75" t="s">
        <v>258</v>
      </c>
      <c r="B34" s="150">
        <f>23527.07+25.85</f>
        <v>23552.92</v>
      </c>
      <c r="C34" s="162"/>
    </row>
    <row r="35" spans="1:3" ht="15.75">
      <c r="A35" s="75" t="s">
        <v>346</v>
      </c>
      <c r="B35" s="150">
        <f>B12-B31</f>
        <v>9925.5800000000054</v>
      </c>
      <c r="C35" s="150"/>
    </row>
    <row r="36" spans="1:3" ht="16.5" thickBot="1">
      <c r="A36" s="77" t="s">
        <v>16</v>
      </c>
      <c r="B36" s="164"/>
      <c r="C36" s="165">
        <f>SUM(B34:B35)</f>
        <v>33478.5</v>
      </c>
    </row>
    <row r="37" spans="1:3" ht="16.5" thickTop="1">
      <c r="A37" s="77"/>
      <c r="B37" s="150"/>
      <c r="C37" s="150"/>
    </row>
    <row r="38" spans="1:3" ht="15.75">
      <c r="A38" s="77" t="s">
        <v>91</v>
      </c>
      <c r="B38" s="150"/>
      <c r="C38" s="150"/>
    </row>
    <row r="39" spans="1:3" ht="15.75">
      <c r="A39" s="77"/>
      <c r="B39" s="150"/>
      <c r="C39" s="150"/>
    </row>
    <row r="40" spans="1:3" ht="15.75">
      <c r="A40" s="75" t="s">
        <v>206</v>
      </c>
      <c r="B40" s="166">
        <v>33452.230000000003</v>
      </c>
      <c r="C40" s="150"/>
    </row>
    <row r="41" spans="1:3" ht="15.75">
      <c r="A41" s="75" t="s">
        <v>207</v>
      </c>
      <c r="B41" s="162">
        <v>26.27</v>
      </c>
      <c r="C41" s="150"/>
    </row>
    <row r="42" spans="1:3" ht="16.5" thickBot="1">
      <c r="A42" s="90"/>
      <c r="B42" s="167"/>
      <c r="C42" s="168">
        <f>SUM(B40:B41)</f>
        <v>33478.5</v>
      </c>
    </row>
    <row r="43" spans="1:3" ht="15.75">
      <c r="A43" s="75"/>
      <c r="B43" s="150"/>
      <c r="C43" s="150"/>
    </row>
    <row r="44" spans="1:3" ht="15.75">
      <c r="A44" s="77" t="s">
        <v>93</v>
      </c>
      <c r="B44" s="150"/>
      <c r="C44" s="150"/>
    </row>
    <row r="45" spans="1:3" ht="15.75">
      <c r="A45" s="82"/>
      <c r="B45" s="169"/>
      <c r="C45" s="150"/>
    </row>
    <row r="46" spans="1:3" ht="15.75">
      <c r="A46" s="82"/>
      <c r="B46" s="169"/>
      <c r="C46" s="150"/>
    </row>
    <row r="47" spans="1:3" ht="16.5" thickBot="1">
      <c r="A47" s="82"/>
      <c r="B47" s="169"/>
      <c r="C47" s="165">
        <f>C42-SUM(B45:B49)</f>
        <v>33478.5</v>
      </c>
    </row>
    <row r="48" spans="1:3" ht="15.75" thickTop="1"/>
  </sheetData>
  <mergeCells count="3">
    <mergeCell ref="A1:C1"/>
    <mergeCell ref="A2:C2"/>
    <mergeCell ref="A3:C3"/>
  </mergeCells>
  <pageMargins left="0.70866141732283472" right="0.70866141732283472" top="0.74803149606299213" bottom="0.74803149606299213"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N31"/>
  <sheetViews>
    <sheetView topLeftCell="A14" workbookViewId="0">
      <selection activeCell="F21" sqref="F21"/>
    </sheetView>
  </sheetViews>
  <sheetFormatPr defaultRowHeight="15"/>
  <cols>
    <col min="3" max="3" width="9.85546875" customWidth="1"/>
    <col min="13" max="13" width="13.5703125" style="10" customWidth="1"/>
    <col min="14" max="14" width="72" customWidth="1"/>
  </cols>
  <sheetData>
    <row r="1" spans="1:14" ht="18">
      <c r="A1" s="267" t="s">
        <v>28</v>
      </c>
      <c r="B1" s="268"/>
      <c r="C1" s="268"/>
      <c r="D1" s="268"/>
      <c r="E1" s="268"/>
      <c r="F1" s="268"/>
      <c r="G1" s="268"/>
      <c r="H1" s="268"/>
      <c r="I1" s="268"/>
      <c r="J1" s="268"/>
      <c r="K1" s="268"/>
      <c r="L1" s="37"/>
      <c r="M1" s="201"/>
      <c r="N1" s="39"/>
    </row>
    <row r="2" spans="1:14" ht="15.75">
      <c r="A2" s="40" t="s">
        <v>19</v>
      </c>
      <c r="B2" s="269" t="s">
        <v>115</v>
      </c>
      <c r="C2" s="269"/>
      <c r="D2" s="269"/>
      <c r="E2" s="269"/>
      <c r="F2" s="269"/>
      <c r="G2" s="269"/>
      <c r="H2" s="41"/>
      <c r="I2" s="41"/>
      <c r="J2" s="41"/>
      <c r="K2" s="41"/>
      <c r="L2" s="37"/>
      <c r="M2" s="201"/>
      <c r="N2" s="39"/>
    </row>
    <row r="3" spans="1:14" ht="15.75">
      <c r="A3" s="40" t="s">
        <v>29</v>
      </c>
      <c r="B3" s="39"/>
      <c r="C3" s="42" t="s">
        <v>21</v>
      </c>
      <c r="D3" s="39"/>
      <c r="E3" s="39"/>
      <c r="F3" s="39"/>
      <c r="G3" s="39"/>
      <c r="H3" s="39"/>
      <c r="I3" s="39"/>
      <c r="J3" s="39"/>
      <c r="K3" s="39"/>
      <c r="L3" s="37"/>
      <c r="M3" s="201"/>
      <c r="N3" s="39"/>
    </row>
    <row r="4" spans="1:14">
      <c r="A4" s="43" t="s">
        <v>30</v>
      </c>
      <c r="B4" s="39"/>
      <c r="C4" s="39"/>
      <c r="D4" s="39"/>
      <c r="E4" s="39"/>
      <c r="F4" s="39"/>
      <c r="G4" s="39"/>
      <c r="H4" s="39"/>
      <c r="I4" s="39"/>
      <c r="J4" s="39"/>
      <c r="K4" s="39"/>
      <c r="L4" s="39"/>
      <c r="M4" s="201"/>
      <c r="N4" s="39"/>
    </row>
    <row r="5" spans="1:14">
      <c r="A5" s="270" t="s">
        <v>31</v>
      </c>
      <c r="B5" s="271"/>
      <c r="C5" s="271"/>
      <c r="D5" s="271"/>
      <c r="E5" s="271"/>
      <c r="F5" s="271"/>
      <c r="G5" s="271"/>
      <c r="H5" s="271"/>
      <c r="I5" s="39"/>
      <c r="J5" s="39"/>
      <c r="K5" s="39"/>
      <c r="L5" s="39"/>
      <c r="M5" s="201"/>
      <c r="N5" s="39"/>
    </row>
    <row r="6" spans="1:14" ht="120">
      <c r="A6" s="39"/>
      <c r="B6" s="39"/>
      <c r="C6" s="39"/>
      <c r="D6" s="44" t="s">
        <v>158</v>
      </c>
      <c r="E6" s="45"/>
      <c r="F6" s="44" t="s">
        <v>163</v>
      </c>
      <c r="G6" s="44" t="s">
        <v>32</v>
      </c>
      <c r="H6" s="44" t="s">
        <v>32</v>
      </c>
      <c r="I6" s="44"/>
      <c r="J6" s="44"/>
      <c r="K6" s="44"/>
      <c r="L6" s="46" t="s">
        <v>33</v>
      </c>
      <c r="M6" s="226" t="s">
        <v>250</v>
      </c>
      <c r="N6" s="47" t="s">
        <v>34</v>
      </c>
    </row>
    <row r="7" spans="1:14">
      <c r="A7" s="39"/>
      <c r="B7" s="39"/>
      <c r="C7" s="39"/>
      <c r="D7" s="44" t="s">
        <v>1</v>
      </c>
      <c r="E7" s="45"/>
      <c r="F7" s="44" t="s">
        <v>1</v>
      </c>
      <c r="G7" s="44" t="s">
        <v>1</v>
      </c>
      <c r="H7" s="44" t="s">
        <v>35</v>
      </c>
      <c r="I7" s="44"/>
      <c r="J7" s="44"/>
      <c r="K7" s="45"/>
      <c r="L7" s="45"/>
      <c r="M7" s="201"/>
      <c r="N7" s="38"/>
    </row>
    <row r="8" spans="1:14" ht="15.75" thickBot="1">
      <c r="A8" s="39"/>
      <c r="B8" s="39"/>
      <c r="C8" s="39"/>
      <c r="D8" s="48"/>
      <c r="E8" s="48"/>
      <c r="F8" s="39"/>
      <c r="G8" s="39"/>
      <c r="H8" s="39"/>
      <c r="I8" s="39"/>
      <c r="J8" s="39"/>
      <c r="K8" s="39"/>
      <c r="L8" s="39"/>
      <c r="M8" s="201"/>
      <c r="N8" s="38"/>
    </row>
    <row r="9" spans="1:14" ht="148.5" customHeight="1" thickBot="1">
      <c r="A9" s="272" t="s">
        <v>36</v>
      </c>
      <c r="B9" s="272"/>
      <c r="C9" s="272"/>
      <c r="D9" s="49">
        <v>15319</v>
      </c>
      <c r="E9" s="39"/>
      <c r="F9" s="49">
        <f>D24</f>
        <v>23552</v>
      </c>
      <c r="G9" s="50"/>
      <c r="H9" s="39"/>
      <c r="I9" s="39"/>
      <c r="J9" s="39"/>
      <c r="K9" s="39"/>
      <c r="L9" s="39"/>
      <c r="M9" s="226" t="str">
        <f>IF(F9=D21,"Explanation of % variance from PY opening balance not required - Balance brought forward agrees","Explanation of % variance from PY opening balance not required - Balance brought forward does not agree, query this")</f>
        <v>Explanation of % variance from PY opening balance not required - Balance brought forward agrees</v>
      </c>
      <c r="N9" s="51"/>
    </row>
    <row r="10" spans="1:14" ht="15.75" thickBot="1">
      <c r="A10" s="10"/>
      <c r="B10" s="10"/>
      <c r="C10" s="10"/>
      <c r="D10" s="50"/>
      <c r="E10" s="39"/>
      <c r="F10" s="50"/>
      <c r="G10" s="39"/>
      <c r="H10" s="39"/>
      <c r="I10" s="39"/>
      <c r="J10" s="39"/>
      <c r="K10" s="39"/>
      <c r="L10" s="39"/>
      <c r="M10" s="201"/>
      <c r="N10" s="38"/>
    </row>
    <row r="11" spans="1:14" ht="75.75" thickBot="1">
      <c r="A11" s="273" t="s">
        <v>37</v>
      </c>
      <c r="B11" s="274"/>
      <c r="C11" s="275"/>
      <c r="D11" s="49">
        <v>23350</v>
      </c>
      <c r="E11" s="39"/>
      <c r="F11" s="49">
        <v>25106</v>
      </c>
      <c r="G11" s="50">
        <f>F11-D11</f>
        <v>1756</v>
      </c>
      <c r="H11" s="52">
        <f>IF((D11&gt;F11),(D11-F11)/D11,IF(D11&lt;F11,-(D11-F11)/D11,IF(D11=F11,0)))</f>
        <v>7.5203426124197004E-2</v>
      </c>
      <c r="I11" s="39">
        <f>IF(D11-F11&lt;200,0,IF(D11-F11&gt;200,1,IF(D11-F11=200,1)))</f>
        <v>0</v>
      </c>
      <c r="J11" s="39">
        <f>IF(F11-D11&lt;200,0,IF(F11-D11&gt;200,1,IF(F11-D11=200,1)))</f>
        <v>1</v>
      </c>
      <c r="K11" s="48">
        <f>IF(H11&lt;0.15,0,IF(H11&gt;0.15,1,IF(H11=0.15,1)))</f>
        <v>0</v>
      </c>
      <c r="L11" s="48" t="str">
        <f>IF(H11&lt;15%, "NO","YES")</f>
        <v>NO</v>
      </c>
      <c r="M11" s="226" t="str">
        <f>IF((L11="YES")*AND(I11+J11&lt;1),"Explanation not required, difference less than £200"," ")</f>
        <v xml:space="preserve"> </v>
      </c>
      <c r="N11" s="179" t="s">
        <v>249</v>
      </c>
    </row>
    <row r="12" spans="1:14" ht="15.75" thickBot="1">
      <c r="A12" s="10"/>
      <c r="B12" s="10"/>
      <c r="C12" s="10"/>
      <c r="D12" s="50"/>
      <c r="E12" s="39"/>
      <c r="F12" s="50"/>
      <c r="G12" s="50"/>
      <c r="H12" s="52"/>
      <c r="I12" s="39"/>
      <c r="J12" s="39"/>
      <c r="K12" s="48"/>
      <c r="L12" s="48"/>
      <c r="M12" s="201"/>
      <c r="N12" s="38"/>
    </row>
    <row r="13" spans="1:14" ht="211.5" customHeight="1" thickBot="1">
      <c r="A13" s="266" t="s">
        <v>38</v>
      </c>
      <c r="B13" s="266"/>
      <c r="C13" s="266"/>
      <c r="D13" s="49">
        <v>20648</v>
      </c>
      <c r="E13" s="39"/>
      <c r="F13" s="49">
        <v>5856</v>
      </c>
      <c r="G13" s="50">
        <f>F13-D13</f>
        <v>-14792</v>
      </c>
      <c r="H13" s="52">
        <f>IF((D13&gt;F13),(D13-F13)/D13,IF(D13&lt;F13,-(D13-F13)/D13,IF(D13=F13,0)))</f>
        <v>0.71638899651297949</v>
      </c>
      <c r="I13" s="39">
        <f>IF(D13-F13&lt;200,0,IF(D13-F13&gt;200,1,IF(D13-F13=200,1)))</f>
        <v>1</v>
      </c>
      <c r="J13" s="39">
        <f>IF(F13-D13&lt;200,0,IF(F13-D13&gt;200,1,IF(F13-D13=200,1)))</f>
        <v>0</v>
      </c>
      <c r="K13" s="48">
        <f>IF(H13&lt;0.15,0,IF(H13&gt;0.15,1,IF(H13=0.15,1)))</f>
        <v>1</v>
      </c>
      <c r="L13" s="48" t="str">
        <f>IF(H13&lt;15%, "NO","YES")</f>
        <v>YES</v>
      </c>
      <c r="M13" s="226" t="str">
        <f>IF((L13="YES")*AND(I13+J13&lt;1),"Explanation not required, difference less than £200"," ")</f>
        <v xml:space="preserve"> </v>
      </c>
      <c r="N13" s="179" t="s">
        <v>251</v>
      </c>
    </row>
    <row r="14" spans="1:14" ht="15.75" thickBot="1">
      <c r="A14" s="10"/>
      <c r="B14" s="10"/>
      <c r="C14" s="10"/>
      <c r="D14" s="50"/>
      <c r="E14" s="39"/>
      <c r="F14" s="50"/>
      <c r="G14" s="50"/>
      <c r="H14" s="52"/>
      <c r="I14" s="39"/>
      <c r="J14" s="39"/>
      <c r="K14" s="48"/>
      <c r="L14" s="48"/>
      <c r="M14" s="201"/>
      <c r="N14" s="201"/>
    </row>
    <row r="15" spans="1:14" ht="15.75" thickBot="1">
      <c r="A15" s="266" t="s">
        <v>39</v>
      </c>
      <c r="B15" s="266"/>
      <c r="C15" s="266"/>
      <c r="D15" s="49">
        <v>7254</v>
      </c>
      <c r="E15" s="39"/>
      <c r="F15" s="49">
        <v>6716</v>
      </c>
      <c r="G15" s="50">
        <f>F15-D15</f>
        <v>-538</v>
      </c>
      <c r="H15" s="52">
        <f>IF((D15&gt;F15),(D15-F15)/D15,IF(D15&lt;F15,-(D15-F15)/D15,IF(D15=F15,0)))</f>
        <v>7.4165977391783849E-2</v>
      </c>
      <c r="I15" s="39">
        <f>IF(D15-F15&lt;200,0,IF(D15-F15&gt;200,1,IF(D15-F15=200,1)))</f>
        <v>1</v>
      </c>
      <c r="J15" s="39">
        <f>IF(F15-D15&lt;200,0,IF(F15-D15&gt;200,1,IF(F15-D15=200,1)))</f>
        <v>0</v>
      </c>
      <c r="K15" s="48">
        <f>IF(H15&lt;0.15,0,IF(H15&gt;0.15,1,IF(H15=0.15,1)))</f>
        <v>0</v>
      </c>
      <c r="L15" s="48" t="str">
        <f>IF(H15&lt;15%, "NO","YES")</f>
        <v>NO</v>
      </c>
      <c r="M15" s="226" t="str">
        <f>IF((L15="YES")*AND(I15+J15&lt;1),"Explanation not required, difference less than £200"," ")</f>
        <v xml:space="preserve"> </v>
      </c>
      <c r="N15" s="200"/>
    </row>
    <row r="16" spans="1:14" ht="15.75" thickBot="1">
      <c r="A16" s="10"/>
      <c r="B16" s="10"/>
      <c r="C16" s="10"/>
      <c r="D16" s="50"/>
      <c r="E16" s="39"/>
      <c r="F16" s="50"/>
      <c r="G16" s="50"/>
      <c r="H16" s="52"/>
      <c r="I16" s="39"/>
      <c r="J16" s="39"/>
      <c r="K16" s="48"/>
      <c r="L16" s="48"/>
      <c r="M16" s="201"/>
      <c r="N16" s="201"/>
    </row>
    <row r="17" spans="1:14" ht="32.25" customHeight="1" thickBot="1">
      <c r="A17" s="276" t="s">
        <v>40</v>
      </c>
      <c r="B17" s="276"/>
      <c r="C17" s="277"/>
      <c r="D17" s="49">
        <v>0</v>
      </c>
      <c r="E17" s="39"/>
      <c r="F17" s="49">
        <v>0</v>
      </c>
      <c r="G17" s="50">
        <f>F17-D17</f>
        <v>0</v>
      </c>
      <c r="H17" s="52">
        <f>IF((D17&gt;F17),(D17-F17)/D17,IF(D17&lt;F17,-(D17-F17)/D17,IF(D17=F17,0)))</f>
        <v>0</v>
      </c>
      <c r="I17" s="39">
        <f>IF(D17-F17&lt;200,0,IF(D17-F17&gt;200,1,IF(D17-F17=200,1)))</f>
        <v>0</v>
      </c>
      <c r="J17" s="39">
        <f>IF(F17-D17&lt;200,0,IF(F17-D17&gt;200,1,IF(F17-D17=200,1)))</f>
        <v>0</v>
      </c>
      <c r="K17" s="48">
        <f>IF(H17&lt;0.15,0,IF(H17&gt;0.15,1,IF(H17=0.15,1)))</f>
        <v>0</v>
      </c>
      <c r="L17" s="48" t="str">
        <f>IF(H17&lt;15%, "NO","YES")</f>
        <v>NO</v>
      </c>
      <c r="M17" s="226" t="str">
        <f>IF((L17="YES")*AND(I17+J17&lt;1),"Explanation not required, difference less than £200"," ")</f>
        <v xml:space="preserve"> </v>
      </c>
      <c r="N17" s="200"/>
    </row>
    <row r="18" spans="1:14" ht="15.75" thickBot="1">
      <c r="A18" s="10"/>
      <c r="B18" s="10"/>
      <c r="C18" s="10"/>
      <c r="D18" s="50"/>
      <c r="E18" s="39"/>
      <c r="F18" s="50"/>
      <c r="G18" s="50"/>
      <c r="H18" s="52"/>
      <c r="I18" s="39"/>
      <c r="J18" s="39"/>
      <c r="K18" s="48"/>
      <c r="L18" s="48"/>
      <c r="M18" s="201"/>
      <c r="N18" s="201"/>
    </row>
    <row r="19" spans="1:14" ht="56.25" customHeight="1" thickBot="1">
      <c r="A19" s="266" t="s">
        <v>41</v>
      </c>
      <c r="B19" s="266"/>
      <c r="C19" s="266"/>
      <c r="D19" s="49">
        <v>28511</v>
      </c>
      <c r="E19" s="39"/>
      <c r="F19" s="49">
        <f>'Current Account'!K65-Variances!F15-1</f>
        <v>16159.204000000005</v>
      </c>
      <c r="G19" s="50">
        <f>F19-D19</f>
        <v>-12351.795999999995</v>
      </c>
      <c r="H19" s="52">
        <f>IF((D19&gt;F19),(D19-F19)/D19,IF(D19&lt;F19,-(D19-F19)/D19,IF(D19=F19,0)))</f>
        <v>0.43322913963031795</v>
      </c>
      <c r="I19" s="39">
        <f>IF(D19-F19&lt;200,0,IF(D19-F19&gt;200,1,IF(D19-F19=200,1)))</f>
        <v>1</v>
      </c>
      <c r="J19" s="39">
        <f>IF(F19-D19&lt;200,0,IF(F19-D19&gt;200,1,IF(F19-D19=200,1)))</f>
        <v>0</v>
      </c>
      <c r="K19" s="48">
        <f>IF(H19&lt;0.15,0,IF(H19&gt;0.15,1,IF(H19=0.15,1)))</f>
        <v>1</v>
      </c>
      <c r="L19" s="48" t="str">
        <f>IF(H19&lt;15%, "NO","YES")</f>
        <v>YES</v>
      </c>
      <c r="M19" s="226" t="str">
        <f>IF((L19="YES")*AND(I19+J19&lt;1),"Explanation not required, difference less than £200"," ")</f>
        <v xml:space="preserve"> </v>
      </c>
      <c r="N19" s="179"/>
    </row>
    <row r="20" spans="1:14" ht="15.75" thickBot="1">
      <c r="A20" s="10"/>
      <c r="B20" s="10"/>
      <c r="C20" s="10"/>
      <c r="D20" s="50"/>
      <c r="E20" s="39"/>
      <c r="F20" s="50"/>
      <c r="G20" s="50"/>
      <c r="H20" s="52"/>
      <c r="I20" s="39"/>
      <c r="J20" s="39"/>
      <c r="K20" s="48"/>
      <c r="L20" s="48"/>
      <c r="M20" s="201"/>
      <c r="N20" s="38"/>
    </row>
    <row r="21" spans="1:14" ht="67.5" customHeight="1" thickBot="1">
      <c r="A21" s="223" t="s">
        <v>42</v>
      </c>
      <c r="B21" s="10"/>
      <c r="C21" s="10"/>
      <c r="D21" s="53">
        <f>D9+D11+D13-D15-D19</f>
        <v>23552</v>
      </c>
      <c r="E21" s="39"/>
      <c r="F21" s="53">
        <f>F9+F11+F13-F15-F17-F19</f>
        <v>31638.795999999995</v>
      </c>
      <c r="G21" s="50"/>
      <c r="H21" s="52"/>
      <c r="I21" s="39"/>
      <c r="J21" s="39"/>
      <c r="K21" s="48"/>
      <c r="L21" s="48"/>
      <c r="M21" s="227" t="s">
        <v>43</v>
      </c>
      <c r="N21" s="38"/>
    </row>
    <row r="22" spans="1:14">
      <c r="A22" s="224"/>
      <c r="B22" s="122"/>
      <c r="C22" s="122"/>
      <c r="D22" s="55"/>
      <c r="E22" s="54"/>
      <c r="F22" s="55"/>
      <c r="G22" s="50"/>
      <c r="H22" s="56"/>
      <c r="I22" s="54"/>
      <c r="J22" s="54"/>
      <c r="K22" s="57"/>
      <c r="L22" s="58" t="str">
        <f>IF(F21&gt;(2*F11),"YES","NO")</f>
        <v>NO</v>
      </c>
      <c r="M22" s="228" t="str">
        <f>IF(F21&gt;(2*F11),"EXPLANATION REQUIRED ON RESERVES TAB AS TO WHY CARRY FORWARD RESERVES ARE GREATER THAN TWICE INCOME FROM LOCAL TAXATION/LEVIES"," ")</f>
        <v xml:space="preserve"> </v>
      </c>
      <c r="N22" s="59"/>
    </row>
    <row r="23" spans="1:14" ht="15.75" thickBot="1">
      <c r="A23" s="10"/>
      <c r="B23" s="10"/>
      <c r="C23" s="10"/>
      <c r="D23" s="50"/>
      <c r="E23" s="39"/>
      <c r="F23" s="50"/>
      <c r="G23" s="50"/>
      <c r="H23" s="52"/>
      <c r="I23" s="39"/>
      <c r="J23" s="39"/>
      <c r="K23" s="48"/>
      <c r="L23" s="48"/>
      <c r="M23" s="201"/>
      <c r="N23" s="38"/>
    </row>
    <row r="24" spans="1:14" ht="47.25" customHeight="1" thickBot="1">
      <c r="A24" s="266" t="s">
        <v>44</v>
      </c>
      <c r="B24" s="266"/>
      <c r="C24" s="266"/>
      <c r="D24" s="49">
        <v>23552</v>
      </c>
      <c r="E24" s="39"/>
      <c r="F24" s="49">
        <f>F21</f>
        <v>31638.795999999995</v>
      </c>
      <c r="G24" s="50"/>
      <c r="H24" s="52"/>
      <c r="I24" s="39"/>
      <c r="J24" s="39"/>
      <c r="K24" s="48"/>
      <c r="L24" s="48"/>
      <c r="M24" s="227" t="s">
        <v>43</v>
      </c>
      <c r="N24" s="38"/>
    </row>
    <row r="25" spans="1:14" ht="15.75" thickBot="1">
      <c r="A25" s="10"/>
      <c r="B25" s="10"/>
      <c r="C25" s="10"/>
      <c r="D25" s="50"/>
      <c r="E25" s="39"/>
      <c r="F25" s="50"/>
      <c r="G25" s="50"/>
      <c r="H25" s="52"/>
      <c r="I25" s="39"/>
      <c r="J25" s="39"/>
      <c r="K25" s="48"/>
      <c r="L25" s="48"/>
      <c r="M25" s="201"/>
      <c r="N25" s="38"/>
    </row>
    <row r="26" spans="1:14" ht="31.5" customHeight="1" thickBot="1">
      <c r="A26" s="276" t="s">
        <v>45</v>
      </c>
      <c r="B26" s="276"/>
      <c r="C26" s="277"/>
      <c r="D26" s="49">
        <v>45578</v>
      </c>
      <c r="E26" s="39"/>
      <c r="F26" s="49">
        <v>45578</v>
      </c>
      <c r="G26" s="50">
        <f>F26-D26</f>
        <v>0</v>
      </c>
      <c r="H26" s="52">
        <f>IF((D26&gt;F26),(D26-F26)/D26,IF(D26&lt;F26,-(D26-F26)/D26,IF(D26=F26,0)))</f>
        <v>0</v>
      </c>
      <c r="I26" s="39">
        <f>IF(D26-F26&lt;200,0,IF(D26-F26&gt;200,1,IF(D26-F26=200,1)))</f>
        <v>0</v>
      </c>
      <c r="J26" s="39">
        <f>IF(F26-D26&lt;200,0,IF(F26-D26&gt;200,1,IF(F26-D26=200,1)))</f>
        <v>0</v>
      </c>
      <c r="K26" s="48">
        <f>IF(H26&lt;0.15,0,IF(H26&gt;0.15,1,IF(H26=0.15,1)))</f>
        <v>0</v>
      </c>
      <c r="L26" s="48" t="str">
        <f>IF(H26&lt;15%, "NO","YES")</f>
        <v>NO</v>
      </c>
      <c r="M26" s="226" t="str">
        <f>IF((L26="YES")*AND(I26+J26&lt;1),"Explanation not required, difference less than £200"," ")</f>
        <v xml:space="preserve"> </v>
      </c>
      <c r="N26" s="51"/>
    </row>
    <row r="27" spans="1:14" ht="15.75" thickBot="1">
      <c r="A27" s="10"/>
      <c r="B27" s="10"/>
      <c r="C27" s="10"/>
      <c r="D27" s="50"/>
      <c r="E27" s="39"/>
      <c r="F27" s="50"/>
      <c r="G27" s="50"/>
      <c r="H27" s="52"/>
      <c r="I27" s="39"/>
      <c r="J27" s="39"/>
      <c r="K27" s="48"/>
      <c r="L27" s="48"/>
      <c r="M27" s="201"/>
      <c r="N27" s="38"/>
    </row>
    <row r="28" spans="1:14" ht="15.75" thickBot="1">
      <c r="A28" s="266" t="s">
        <v>46</v>
      </c>
      <c r="B28" s="266"/>
      <c r="C28" s="266"/>
      <c r="D28" s="49">
        <v>0</v>
      </c>
      <c r="E28" s="39"/>
      <c r="F28" s="49">
        <v>0</v>
      </c>
      <c r="G28" s="50">
        <f>F28-D28</f>
        <v>0</v>
      </c>
      <c r="H28" s="52">
        <f>IF((D28&gt;F28),(D28-F28)/D28,IF(D28&lt;F28,-(D28-F28)/D28,IF(D28=F28,0)))</f>
        <v>0</v>
      </c>
      <c r="I28" s="39">
        <f>IF(D28-F28&lt;100,0,IF(D28-F28&gt;100,1,IF(D28-F28=100,1)))</f>
        <v>0</v>
      </c>
      <c r="J28" s="39">
        <f>IF(F28-D28&lt;100,0,IF(F28-D28&gt;100,1,IF(F28-D28=100,1)))</f>
        <v>0</v>
      </c>
      <c r="K28" s="48">
        <f>IF(H28&lt;0.15,0,IF(H28&gt;0.15,1,IF(H28=0.15,1)))</f>
        <v>0</v>
      </c>
      <c r="L28" s="48" t="str">
        <f>IF(H28&lt;15%, "NO","YES")</f>
        <v>NO</v>
      </c>
      <c r="M28" s="226" t="str">
        <f>IF((L28="YES")*AND(I28+J28&lt;1),"Explanation not required, difference less than £200"," ")</f>
        <v xml:space="preserve"> </v>
      </c>
      <c r="N28" s="51"/>
    </row>
    <row r="29" spans="1:14">
      <c r="A29" s="10"/>
      <c r="B29" s="10"/>
      <c r="C29" s="10"/>
      <c r="D29" s="39"/>
      <c r="E29" s="39"/>
      <c r="F29" s="39"/>
      <c r="G29" s="39"/>
      <c r="H29" s="52"/>
      <c r="I29" s="39"/>
      <c r="J29" s="39"/>
      <c r="K29" s="48"/>
      <c r="L29" s="48"/>
      <c r="M29" s="201"/>
      <c r="N29" s="38"/>
    </row>
    <row r="30" spans="1:14">
      <c r="A30" s="10"/>
      <c r="B30" s="10"/>
      <c r="C30" s="225"/>
      <c r="D30" s="39"/>
      <c r="E30" s="39"/>
      <c r="F30" s="39"/>
      <c r="G30" s="39"/>
      <c r="H30" s="39"/>
      <c r="I30" s="39"/>
      <c r="J30" s="39"/>
      <c r="K30" s="39"/>
      <c r="L30" s="39"/>
      <c r="M30" s="201"/>
      <c r="N30" s="39"/>
    </row>
    <row r="31" spans="1:14">
      <c r="A31" s="39"/>
      <c r="B31" s="39"/>
      <c r="C31" s="39"/>
      <c r="D31" s="39"/>
      <c r="E31" s="39"/>
      <c r="F31" s="39"/>
      <c r="G31" s="39"/>
      <c r="H31" s="39"/>
      <c r="I31" s="39"/>
      <c r="J31" s="39"/>
      <c r="K31" s="39"/>
      <c r="L31" s="39"/>
      <c r="M31" s="201"/>
      <c r="N31" s="39"/>
    </row>
  </sheetData>
  <mergeCells count="12">
    <mergeCell ref="A28:C28"/>
    <mergeCell ref="A1:K1"/>
    <mergeCell ref="B2:G2"/>
    <mergeCell ref="A5:H5"/>
    <mergeCell ref="A9:C9"/>
    <mergeCell ref="A11:C11"/>
    <mergeCell ref="A13:C13"/>
    <mergeCell ref="A15:C15"/>
    <mergeCell ref="A17:C17"/>
    <mergeCell ref="A19:C19"/>
    <mergeCell ref="A24:C24"/>
    <mergeCell ref="A26:C26"/>
  </mergeCells>
  <pageMargins left="0.70866141732283472" right="0.70866141732283472" top="0.74803149606299213" bottom="0.74803149606299213" header="0.31496062992125984" footer="0.31496062992125984"/>
  <pageSetup paperSize="9" scale="44" orientation="portrait" r:id="rId1"/>
</worksheet>
</file>

<file path=xl/worksheets/sheet30.xml><?xml version="1.0" encoding="utf-8"?>
<worksheet xmlns="http://schemas.openxmlformats.org/spreadsheetml/2006/main" xmlns:r="http://schemas.openxmlformats.org/officeDocument/2006/relationships">
  <dimension ref="A1:G20"/>
  <sheetViews>
    <sheetView workbookViewId="0">
      <selection sqref="A1:G21"/>
    </sheetView>
  </sheetViews>
  <sheetFormatPr defaultRowHeight="15"/>
  <cols>
    <col min="1" max="1" width="16.5703125" customWidth="1"/>
    <col min="2" max="2" width="15.140625" customWidth="1"/>
    <col min="3" max="3" width="19.42578125" customWidth="1"/>
    <col min="4" max="4" width="23.42578125" customWidth="1"/>
  </cols>
  <sheetData>
    <row r="1" spans="1:7" ht="21">
      <c r="A1" s="279" t="s">
        <v>115</v>
      </c>
      <c r="B1" s="279"/>
      <c r="C1" s="279"/>
      <c r="D1" s="279"/>
      <c r="E1" s="279"/>
      <c r="F1" s="279"/>
      <c r="G1" s="279"/>
    </row>
    <row r="2" spans="1:7" ht="15.75">
      <c r="A2" s="236"/>
    </row>
    <row r="3" spans="1:7" ht="21">
      <c r="A3" s="280" t="s">
        <v>260</v>
      </c>
      <c r="B3" s="280"/>
      <c r="C3" s="280"/>
      <c r="D3" s="280"/>
      <c r="E3" s="280"/>
      <c r="F3" s="280"/>
      <c r="G3" s="280"/>
    </row>
    <row r="4" spans="1:7" ht="15.75">
      <c r="A4" s="237"/>
    </row>
    <row r="5" spans="1:7" ht="15.75">
      <c r="A5" s="237" t="s">
        <v>350</v>
      </c>
    </row>
    <row r="6" spans="1:7" ht="16.5" thickBot="1">
      <c r="A6" s="238"/>
    </row>
    <row r="7" spans="1:7" ht="15.75" thickBot="1">
      <c r="A7" s="239" t="s">
        <v>261</v>
      </c>
      <c r="B7" s="240" t="s">
        <v>262</v>
      </c>
      <c r="C7" s="239" t="s">
        <v>48</v>
      </c>
      <c r="D7" s="281" t="s">
        <v>263</v>
      </c>
      <c r="E7" s="283" t="s">
        <v>264</v>
      </c>
      <c r="F7" s="284"/>
      <c r="G7" s="285"/>
    </row>
    <row r="8" spans="1:7" ht="15.75" thickBot="1">
      <c r="A8" s="241" t="s">
        <v>265</v>
      </c>
      <c r="B8" s="242" t="s">
        <v>265</v>
      </c>
      <c r="C8" s="241"/>
      <c r="D8" s="282"/>
      <c r="E8" s="243" t="s">
        <v>266</v>
      </c>
      <c r="F8" s="243" t="s">
        <v>15</v>
      </c>
      <c r="G8" s="243" t="s">
        <v>16</v>
      </c>
    </row>
    <row r="9" spans="1:7" ht="15.75" thickBot="1">
      <c r="A9" s="244" t="s">
        <v>347</v>
      </c>
      <c r="B9" s="246" t="s">
        <v>316</v>
      </c>
      <c r="C9" s="245" t="s">
        <v>287</v>
      </c>
      <c r="D9" s="245" t="s">
        <v>195</v>
      </c>
      <c r="E9" s="247">
        <v>148.72</v>
      </c>
      <c r="F9" s="247"/>
      <c r="G9" s="247">
        <f>E9+F9</f>
        <v>148.72</v>
      </c>
    </row>
    <row r="10" spans="1:7" ht="15.75" thickBot="1">
      <c r="A10" s="244" t="s">
        <v>348</v>
      </c>
      <c r="B10" s="246" t="s">
        <v>193</v>
      </c>
      <c r="C10" s="245" t="s">
        <v>253</v>
      </c>
      <c r="D10" s="245" t="s">
        <v>272</v>
      </c>
      <c r="E10" s="247">
        <v>323.64</v>
      </c>
      <c r="F10" s="247"/>
      <c r="G10" s="247">
        <v>329.64</v>
      </c>
    </row>
    <row r="11" spans="1:7" ht="15.75" thickBot="1">
      <c r="A11" s="244" t="s">
        <v>349</v>
      </c>
      <c r="B11" s="246" t="s">
        <v>193</v>
      </c>
      <c r="C11" s="245" t="s">
        <v>4</v>
      </c>
      <c r="D11" s="245" t="s">
        <v>274</v>
      </c>
      <c r="E11" s="247">
        <v>77.2</v>
      </c>
      <c r="F11" s="247"/>
      <c r="G11" s="247">
        <f>E11+F11</f>
        <v>77.2</v>
      </c>
    </row>
    <row r="12" spans="1:7">
      <c r="A12" s="251"/>
      <c r="B12" s="252"/>
      <c r="C12" s="251"/>
      <c r="D12" s="251"/>
      <c r="E12" s="253"/>
      <c r="F12" s="253"/>
      <c r="G12" s="253"/>
    </row>
    <row r="13" spans="1:7">
      <c r="A13" s="251"/>
      <c r="B13" s="252"/>
      <c r="C13" s="251"/>
      <c r="D13" s="251"/>
      <c r="E13" s="253"/>
      <c r="F13" s="253"/>
      <c r="G13" s="253"/>
    </row>
    <row r="15" spans="1:7" ht="15.75">
      <c r="A15" s="237"/>
    </row>
    <row r="16" spans="1:7" ht="18.75">
      <c r="A16" s="237" t="s">
        <v>277</v>
      </c>
      <c r="G16" s="248" t="s">
        <v>353</v>
      </c>
    </row>
    <row r="17" spans="1:7" ht="15.75">
      <c r="A17" s="238"/>
    </row>
    <row r="18" spans="1:7" ht="15.75">
      <c r="A18" s="249" t="s">
        <v>352</v>
      </c>
      <c r="B18" s="249"/>
      <c r="C18" s="249"/>
      <c r="D18" s="249"/>
      <c r="E18" s="249"/>
      <c r="F18" s="249"/>
      <c r="G18" s="248" t="s">
        <v>351</v>
      </c>
    </row>
    <row r="19" spans="1:7" ht="15.75">
      <c r="A19" s="237"/>
    </row>
    <row r="20" spans="1:7" ht="15.75">
      <c r="A20" s="237" t="s">
        <v>278</v>
      </c>
    </row>
  </sheetData>
  <mergeCells count="4">
    <mergeCell ref="A1:G1"/>
    <mergeCell ref="A3:G3"/>
    <mergeCell ref="D7:D8"/>
    <mergeCell ref="E7:G7"/>
  </mergeCells>
  <pageMargins left="0.7" right="0.7" top="0.75" bottom="0.75" header="0.3" footer="0.3"/>
  <pageSetup paperSize="9" orientation="landscape" r:id="rId1"/>
  <drawing r:id="rId2"/>
</worksheet>
</file>

<file path=xl/worksheets/sheet31.xml><?xml version="1.0" encoding="utf-8"?>
<worksheet xmlns="http://schemas.openxmlformats.org/spreadsheetml/2006/main" xmlns:r="http://schemas.openxmlformats.org/officeDocument/2006/relationships">
  <sheetPr>
    <pageSetUpPr fitToPage="1"/>
  </sheetPr>
  <dimension ref="A1:C48"/>
  <sheetViews>
    <sheetView workbookViewId="0">
      <selection activeCell="B8" sqref="B8"/>
    </sheetView>
  </sheetViews>
  <sheetFormatPr defaultRowHeight="15"/>
  <cols>
    <col min="1" max="1" width="71.28515625" bestFit="1" customWidth="1"/>
    <col min="2" max="3" width="12.7109375" bestFit="1" customWidth="1"/>
  </cols>
  <sheetData>
    <row r="1" spans="1:3" ht="18.75">
      <c r="A1" s="278" t="s">
        <v>115</v>
      </c>
      <c r="B1" s="278"/>
      <c r="C1" s="278"/>
    </row>
    <row r="2" spans="1:3" ht="18.75">
      <c r="A2" s="278" t="s">
        <v>84</v>
      </c>
      <c r="B2" s="278"/>
      <c r="C2" s="278"/>
    </row>
    <row r="3" spans="1:3" ht="18.75">
      <c r="A3" s="278" t="s">
        <v>354</v>
      </c>
      <c r="B3" s="278"/>
      <c r="C3" s="278"/>
    </row>
    <row r="4" spans="1:3" ht="15.75">
      <c r="A4" s="75"/>
      <c r="B4" s="74"/>
      <c r="C4" s="74"/>
    </row>
    <row r="5" spans="1:3" ht="18.75">
      <c r="A5" s="76" t="s">
        <v>85</v>
      </c>
      <c r="B5" s="74"/>
      <c r="C5" s="74"/>
    </row>
    <row r="6" spans="1:3" ht="15.75">
      <c r="A6" s="75"/>
      <c r="B6" s="74"/>
      <c r="C6" s="74"/>
    </row>
    <row r="7" spans="1:3" ht="15.75">
      <c r="A7" s="77" t="s">
        <v>86</v>
      </c>
      <c r="B7" s="75"/>
      <c r="C7" s="75"/>
    </row>
    <row r="8" spans="1:3" ht="15.75">
      <c r="A8" s="75" t="s">
        <v>119</v>
      </c>
      <c r="B8" s="150">
        <f>2*12553</f>
        <v>25106</v>
      </c>
      <c r="C8" s="150"/>
    </row>
    <row r="9" spans="1:3" ht="15.75">
      <c r="A9" s="75" t="s">
        <v>136</v>
      </c>
      <c r="B9" s="150">
        <f>1371.15+1906.8</f>
        <v>3277.95</v>
      </c>
      <c r="C9" s="150"/>
    </row>
    <row r="10" spans="1:3" ht="15.75">
      <c r="A10" s="75" t="s">
        <v>166</v>
      </c>
      <c r="B10" s="150">
        <v>2578.04</v>
      </c>
      <c r="C10" s="150"/>
    </row>
    <row r="11" spans="1:3" ht="15.75">
      <c r="A11" s="75" t="s">
        <v>5</v>
      </c>
      <c r="B11" s="150">
        <v>0.42</v>
      </c>
      <c r="C11" s="150"/>
    </row>
    <row r="12" spans="1:3" ht="15.75">
      <c r="A12" s="79"/>
      <c r="B12" s="161">
        <f>SUM(B8:B11)</f>
        <v>30962.41</v>
      </c>
      <c r="C12" s="150"/>
    </row>
    <row r="13" spans="1:3" ht="15.75">
      <c r="A13" s="79"/>
      <c r="B13" s="162"/>
      <c r="C13" s="150"/>
    </row>
    <row r="14" spans="1:3" ht="15.75">
      <c r="A14" s="77" t="s">
        <v>87</v>
      </c>
      <c r="B14" s="150"/>
      <c r="C14" s="150"/>
    </row>
    <row r="15" spans="1:3" ht="15.75">
      <c r="A15" s="75" t="s">
        <v>88</v>
      </c>
      <c r="B15" s="155">
        <f>'Budget over Expenditure 23-24'!C6+'Budget over Expenditure 23-24'!D6+'Budget over Expenditure 23-24'!E6+'Budget over Expenditure 23-24'!F6+'Budget over Expenditure 23-24'!G6+'Budget over Expenditure 23-24'!H6+'Budget over Expenditure 23-24'!I6+'Budget over Expenditure 23-24'!J6+'Budget over Expenditure 23-24'!K6+'Budget over Expenditure 23-24'!L6+'Budget over Expenditure 23-24'!M6</f>
        <v>198</v>
      </c>
      <c r="C15" s="150"/>
    </row>
    <row r="16" spans="1:3" ht="15.75">
      <c r="A16" s="75" t="s">
        <v>117</v>
      </c>
      <c r="B16" s="155">
        <f>'Budget over Expenditure 23-24'!C5+'Budget over Expenditure 23-24'!D5+'Budget over Expenditure 23-24'!E5+'Budget over Expenditure 23-24'!F5+'Budget over Expenditure 23-24'!G5+'Budget over Expenditure 23-24'!H5+'Budget over Expenditure 23-24'!I5+'Budget over Expenditure 23-24'!J5+'Budget over Expenditure 23-24'!K5+'Budget over Expenditure 23-24'!L5+'Budget over Expenditure 23-24'!M5</f>
        <v>1675.92</v>
      </c>
      <c r="C16" s="150"/>
    </row>
    <row r="17" spans="1:3" ht="15.75">
      <c r="A17" s="75" t="s">
        <v>89</v>
      </c>
      <c r="B17" s="155">
        <f>'Budget over Expenditure 23-24'!C9+'Budget over Expenditure 23-24'!D9+'Budget over Expenditure 23-24'!E9+'Budget over Expenditure 23-24'!F9+'Budget over Expenditure 23-24'!G9+'Budget over Expenditure 23-24'!H9+'Budget over Expenditure 23-24'!I9+'Budget over Expenditure 23-24'!J9+'Budget over Expenditure 23-24'!K9+'Budget over Expenditure 23-24'!L9+'Budget over Expenditure 23-24'!M9</f>
        <v>3440.72</v>
      </c>
      <c r="C17" s="150"/>
    </row>
    <row r="18" spans="1:3" ht="15.75">
      <c r="A18" s="75" t="s">
        <v>256</v>
      </c>
      <c r="B18" s="155">
        <v>28.78</v>
      </c>
      <c r="C18" s="150"/>
    </row>
    <row r="19" spans="1:3" ht="15.75">
      <c r="A19" s="75" t="s">
        <v>9</v>
      </c>
      <c r="B19" s="155">
        <v>639.86</v>
      </c>
      <c r="C19" s="150"/>
    </row>
    <row r="20" spans="1:3" ht="15.75">
      <c r="A20" s="75" t="s">
        <v>196</v>
      </c>
      <c r="B20" s="155">
        <f>'Budget over Expenditure 23-24'!D15+'Budget over Expenditure 23-24'!F15+'Budget over Expenditure 23-24'!G15</f>
        <v>3932.16</v>
      </c>
      <c r="C20" s="150"/>
    </row>
    <row r="21" spans="1:3" ht="15.75">
      <c r="A21" s="75" t="s">
        <v>6</v>
      </c>
      <c r="B21" s="155">
        <v>60</v>
      </c>
      <c r="C21" s="150"/>
    </row>
    <row r="22" spans="1:3" ht="15.75">
      <c r="A22" s="75" t="s">
        <v>122</v>
      </c>
      <c r="B22" s="155">
        <f>'Budget over Expenditure 23-24'!I11+4345.2</f>
        <v>9150</v>
      </c>
      <c r="C22" s="150"/>
    </row>
    <row r="23" spans="1:3" ht="15.75">
      <c r="A23" s="82" t="s">
        <v>7</v>
      </c>
      <c r="B23" s="156">
        <v>545.57000000000005</v>
      </c>
      <c r="C23" s="150"/>
    </row>
    <row r="24" spans="1:3" ht="15.75">
      <c r="A24" s="82" t="s">
        <v>205</v>
      </c>
      <c r="B24" s="156">
        <f>'Budget over Expenditure 23-24'!F14+'Budget over Expenditure 23-24'!L14</f>
        <v>222.12</v>
      </c>
      <c r="C24" s="150"/>
    </row>
    <row r="25" spans="1:3" ht="15.75">
      <c r="A25" s="82" t="s">
        <v>322</v>
      </c>
      <c r="B25" s="156">
        <f>'Budget over Expenditure 23-24'!I13</f>
        <v>218.85</v>
      </c>
      <c r="C25" s="150"/>
    </row>
    <row r="26" spans="1:3" ht="15.75">
      <c r="A26" s="82" t="s">
        <v>308</v>
      </c>
      <c r="B26" s="156">
        <f>'Budget over Expenditure 23-24'!F13</f>
        <v>117.6</v>
      </c>
      <c r="C26" s="150"/>
    </row>
    <row r="27" spans="1:3" ht="15.75">
      <c r="A27" s="82" t="s">
        <v>191</v>
      </c>
      <c r="B27" s="156">
        <f>'Budget over Expenditure 23-24'!I14</f>
        <v>70.349999999999994</v>
      </c>
      <c r="C27" s="150"/>
    </row>
    <row r="28" spans="1:3" ht="15.75">
      <c r="A28" s="82" t="s">
        <v>64</v>
      </c>
      <c r="B28" s="156">
        <v>143.86000000000001</v>
      </c>
      <c r="C28" s="150"/>
    </row>
    <row r="29" spans="1:3" ht="15.75">
      <c r="A29" s="82" t="s">
        <v>8</v>
      </c>
      <c r="B29" s="156">
        <v>300</v>
      </c>
      <c r="C29" s="150"/>
    </row>
    <row r="30" spans="1:3" ht="15.75">
      <c r="A30" s="82" t="s">
        <v>4</v>
      </c>
      <c r="B30" s="156">
        <f>'Budget over Expenditure 23-24'!C7+'Budget over Expenditure 23-24'!D7+'Budget over Expenditure 23-24'!E7+'Budget over Expenditure 23-24'!F7+'Budget over Expenditure 23-24'!G7+'Budget over Expenditure 23-24'!H7+'Budget over Expenditure 23-24'!I7+'Budget over Expenditure 23-24'!J7+'Budget over Expenditure 23-24'!K7+'Budget over Expenditure 23-24'!L7+'Budget over Expenditure 23-24'!M7</f>
        <v>848.60000000000014</v>
      </c>
      <c r="C30" s="150"/>
    </row>
    <row r="31" spans="1:3" ht="15.75">
      <c r="A31" s="82"/>
      <c r="B31" s="151">
        <f>SUM(B15:B30)</f>
        <v>21592.389999999992</v>
      </c>
      <c r="C31" s="163"/>
    </row>
    <row r="32" spans="1:3">
      <c r="A32" s="84"/>
      <c r="B32" s="163"/>
      <c r="C32" s="163"/>
    </row>
    <row r="33" spans="1:3" ht="15.75">
      <c r="A33" s="77" t="s">
        <v>90</v>
      </c>
      <c r="B33" s="150"/>
      <c r="C33" s="150"/>
    </row>
    <row r="34" spans="1:3" ht="15.75">
      <c r="A34" s="75" t="s">
        <v>258</v>
      </c>
      <c r="B34" s="150">
        <f>23527.07+25.85</f>
        <v>23552.92</v>
      </c>
      <c r="C34" s="162"/>
    </row>
    <row r="35" spans="1:3" ht="15.75">
      <c r="A35" s="75" t="s">
        <v>355</v>
      </c>
      <c r="B35" s="150">
        <f>B12-B31</f>
        <v>9370.0200000000077</v>
      </c>
      <c r="C35" s="150"/>
    </row>
    <row r="36" spans="1:3" ht="16.5" thickBot="1">
      <c r="A36" s="77" t="s">
        <v>16</v>
      </c>
      <c r="B36" s="164"/>
      <c r="C36" s="165">
        <f>SUM(B34:B35)</f>
        <v>32922.94</v>
      </c>
    </row>
    <row r="37" spans="1:3" ht="16.5" thickTop="1">
      <c r="A37" s="77"/>
      <c r="B37" s="150"/>
      <c r="C37" s="150"/>
    </row>
    <row r="38" spans="1:3" ht="15.75">
      <c r="A38" s="77" t="s">
        <v>91</v>
      </c>
      <c r="B38" s="150"/>
      <c r="C38" s="150"/>
    </row>
    <row r="39" spans="1:3" ht="15.75">
      <c r="A39" s="77"/>
      <c r="B39" s="150"/>
      <c r="C39" s="150"/>
    </row>
    <row r="40" spans="1:3" ht="15.75">
      <c r="A40" s="75" t="s">
        <v>206</v>
      </c>
      <c r="B40" s="166">
        <v>32896.67</v>
      </c>
      <c r="C40" s="150"/>
    </row>
    <row r="41" spans="1:3" ht="15.75">
      <c r="A41" s="75" t="s">
        <v>207</v>
      </c>
      <c r="B41" s="162">
        <v>26.27</v>
      </c>
      <c r="C41" s="150"/>
    </row>
    <row r="42" spans="1:3" ht="16.5" thickBot="1">
      <c r="A42" s="90"/>
      <c r="B42" s="167"/>
      <c r="C42" s="168">
        <f>SUM(B40:B41)</f>
        <v>32922.939999999995</v>
      </c>
    </row>
    <row r="43" spans="1:3" ht="15.75">
      <c r="A43" s="75"/>
      <c r="B43" s="150"/>
      <c r="C43" s="150"/>
    </row>
    <row r="44" spans="1:3" ht="15.75">
      <c r="A44" s="77" t="s">
        <v>93</v>
      </c>
      <c r="B44" s="150"/>
      <c r="C44" s="150"/>
    </row>
    <row r="45" spans="1:3" ht="15.75">
      <c r="A45" s="82"/>
      <c r="B45" s="169"/>
      <c r="C45" s="150"/>
    </row>
    <row r="46" spans="1:3" ht="15.75">
      <c r="A46" s="82"/>
      <c r="B46" s="169"/>
      <c r="C46" s="150"/>
    </row>
    <row r="47" spans="1:3" ht="16.5" thickBot="1">
      <c r="A47" s="82"/>
      <c r="B47" s="169"/>
      <c r="C47" s="165">
        <f>C42-SUM(B45:B49)</f>
        <v>32922.939999999995</v>
      </c>
    </row>
    <row r="48" spans="1:3" ht="15.75" thickTop="1"/>
  </sheetData>
  <mergeCells count="3">
    <mergeCell ref="A1:C1"/>
    <mergeCell ref="A2:C2"/>
    <mergeCell ref="A3:C3"/>
  </mergeCells>
  <pageMargins left="0.70866141732283472" right="0.70866141732283472" top="0.74803149606299213" bottom="0.74803149606299213" header="0.31496062992125984" footer="0.31496062992125984"/>
  <pageSetup paperSize="9" scale="90" orientation="portrait" r:id="rId1"/>
</worksheet>
</file>

<file path=xl/worksheets/sheet32.xml><?xml version="1.0" encoding="utf-8"?>
<worksheet xmlns="http://schemas.openxmlformats.org/spreadsheetml/2006/main" xmlns:r="http://schemas.openxmlformats.org/officeDocument/2006/relationships">
  <sheetPr>
    <pageSetUpPr fitToPage="1"/>
  </sheetPr>
  <dimension ref="A1:G22"/>
  <sheetViews>
    <sheetView topLeftCell="A14" workbookViewId="0">
      <selection activeCell="G24" sqref="A1:G24"/>
    </sheetView>
  </sheetViews>
  <sheetFormatPr defaultRowHeight="15"/>
  <cols>
    <col min="1" max="1" width="13.42578125" customWidth="1"/>
    <col min="3" max="3" width="17.42578125" customWidth="1"/>
    <col min="4" max="4" width="22.140625" customWidth="1"/>
  </cols>
  <sheetData>
    <row r="1" spans="1:7" ht="21">
      <c r="A1" s="279" t="s">
        <v>115</v>
      </c>
      <c r="B1" s="279"/>
      <c r="C1" s="279"/>
      <c r="D1" s="279"/>
      <c r="E1" s="279"/>
      <c r="F1" s="279"/>
      <c r="G1" s="279"/>
    </row>
    <row r="2" spans="1:7" ht="15.75">
      <c r="A2" s="236"/>
    </row>
    <row r="3" spans="1:7" ht="21">
      <c r="A3" s="280" t="s">
        <v>260</v>
      </c>
      <c r="B3" s="280"/>
      <c r="C3" s="280"/>
      <c r="D3" s="280"/>
      <c r="E3" s="280"/>
      <c r="F3" s="280"/>
      <c r="G3" s="280"/>
    </row>
    <row r="4" spans="1:7" ht="15.75">
      <c r="A4" s="237"/>
    </row>
    <row r="5" spans="1:7" ht="15.75">
      <c r="A5" s="237" t="s">
        <v>350</v>
      </c>
    </row>
    <row r="6" spans="1:7" ht="16.5" thickBot="1">
      <c r="A6" s="238"/>
    </row>
    <row r="7" spans="1:7" ht="15.75" thickBot="1">
      <c r="A7" s="239" t="s">
        <v>261</v>
      </c>
      <c r="B7" s="240" t="s">
        <v>262</v>
      </c>
      <c r="C7" s="239" t="s">
        <v>48</v>
      </c>
      <c r="D7" s="281" t="s">
        <v>263</v>
      </c>
      <c r="E7" s="283" t="s">
        <v>264</v>
      </c>
      <c r="F7" s="284"/>
      <c r="G7" s="285"/>
    </row>
    <row r="8" spans="1:7" ht="15.75" thickBot="1">
      <c r="A8" s="241" t="s">
        <v>265</v>
      </c>
      <c r="B8" s="242" t="s">
        <v>265</v>
      </c>
      <c r="C8" s="241"/>
      <c r="D8" s="282"/>
      <c r="E8" s="243" t="s">
        <v>266</v>
      </c>
      <c r="F8" s="243" t="s">
        <v>15</v>
      </c>
      <c r="G8" s="243" t="s">
        <v>16</v>
      </c>
    </row>
    <row r="9" spans="1:7" ht="15.75" thickBot="1">
      <c r="A9" s="244" t="s">
        <v>356</v>
      </c>
      <c r="B9" s="246" t="s">
        <v>316</v>
      </c>
      <c r="C9" s="245" t="s">
        <v>287</v>
      </c>
      <c r="D9" s="245" t="s">
        <v>195</v>
      </c>
      <c r="E9" s="247">
        <v>148.72</v>
      </c>
      <c r="F9" s="247"/>
      <c r="G9" s="247">
        <f>E9+F9</f>
        <v>148.72</v>
      </c>
    </row>
    <row r="10" spans="1:7" ht="15.75" thickBot="1">
      <c r="A10" s="244" t="s">
        <v>357</v>
      </c>
      <c r="B10" s="246" t="s">
        <v>193</v>
      </c>
      <c r="C10" s="245" t="s">
        <v>253</v>
      </c>
      <c r="D10" s="245" t="s">
        <v>272</v>
      </c>
      <c r="E10" s="247">
        <v>326.64</v>
      </c>
      <c r="F10" s="247"/>
      <c r="G10" s="247">
        <v>326.64</v>
      </c>
    </row>
    <row r="11" spans="1:7" ht="15.75" thickBot="1">
      <c r="A11" s="244" t="s">
        <v>358</v>
      </c>
      <c r="B11" s="246" t="s">
        <v>193</v>
      </c>
      <c r="C11" s="245" t="s">
        <v>4</v>
      </c>
      <c r="D11" s="245" t="s">
        <v>274</v>
      </c>
      <c r="E11" s="247">
        <v>77.2</v>
      </c>
      <c r="F11" s="247"/>
      <c r="G11" s="247">
        <f>E11+F11</f>
        <v>77.2</v>
      </c>
    </row>
    <row r="12" spans="1:7" ht="15.75" thickBot="1">
      <c r="A12" s="244" t="s">
        <v>359</v>
      </c>
      <c r="B12" s="246" t="s">
        <v>193</v>
      </c>
      <c r="C12" s="245" t="s">
        <v>242</v>
      </c>
      <c r="D12" s="245" t="s">
        <v>244</v>
      </c>
      <c r="E12" s="247">
        <v>150</v>
      </c>
      <c r="F12" s="247">
        <v>30</v>
      </c>
      <c r="G12" s="247">
        <f>E12+F12</f>
        <v>180</v>
      </c>
    </row>
    <row r="13" spans="1:7" ht="15.75" thickBot="1">
      <c r="A13" s="244" t="s">
        <v>360</v>
      </c>
      <c r="B13" s="246" t="s">
        <v>193</v>
      </c>
      <c r="C13" s="245" t="s">
        <v>138</v>
      </c>
      <c r="D13" s="245" t="s">
        <v>361</v>
      </c>
      <c r="E13" s="247">
        <v>430</v>
      </c>
      <c r="F13" s="247"/>
      <c r="G13" s="247">
        <f>E13+F13</f>
        <v>430</v>
      </c>
    </row>
    <row r="14" spans="1:7" ht="15.75" thickBot="1">
      <c r="A14" s="244" t="s">
        <v>365</v>
      </c>
      <c r="B14" s="246" t="s">
        <v>193</v>
      </c>
      <c r="C14" s="245" t="s">
        <v>240</v>
      </c>
      <c r="D14" s="245" t="s">
        <v>367</v>
      </c>
      <c r="E14" s="247">
        <v>25.5</v>
      </c>
      <c r="F14" s="247">
        <v>5.0999999999999996</v>
      </c>
      <c r="G14" s="247">
        <f>E14+F14</f>
        <v>30.6</v>
      </c>
    </row>
    <row r="15" spans="1:7" ht="15.75" thickBot="1">
      <c r="A15" s="244" t="s">
        <v>366</v>
      </c>
      <c r="B15" s="246" t="s">
        <v>193</v>
      </c>
      <c r="C15" s="245" t="s">
        <v>368</v>
      </c>
      <c r="D15" s="245" t="s">
        <v>369</v>
      </c>
      <c r="E15" s="247">
        <v>90.66</v>
      </c>
      <c r="F15" s="247"/>
      <c r="G15" s="247">
        <f>E15+F15</f>
        <v>90.66</v>
      </c>
    </row>
    <row r="17" spans="1:7" ht="15.75">
      <c r="A17" s="237"/>
    </row>
    <row r="18" spans="1:7" ht="18.75">
      <c r="A18" s="237" t="s">
        <v>277</v>
      </c>
      <c r="G18" s="248" t="s">
        <v>362</v>
      </c>
    </row>
    <row r="19" spans="1:7" ht="15.75">
      <c r="A19" s="238"/>
    </row>
    <row r="20" spans="1:7" ht="15.75">
      <c r="A20" s="249" t="s">
        <v>364</v>
      </c>
      <c r="B20" s="249"/>
      <c r="C20" s="249"/>
      <c r="D20" s="249"/>
      <c r="E20" s="249"/>
      <c r="F20" s="249"/>
      <c r="G20" s="248" t="s">
        <v>363</v>
      </c>
    </row>
    <row r="21" spans="1:7" ht="15.75">
      <c r="A21" s="237"/>
    </row>
    <row r="22" spans="1:7" ht="15.75">
      <c r="A22" s="237" t="s">
        <v>278</v>
      </c>
    </row>
  </sheetData>
  <mergeCells count="4">
    <mergeCell ref="A1:G1"/>
    <mergeCell ref="A3:G3"/>
    <mergeCell ref="D7:D8"/>
    <mergeCell ref="E7:G7"/>
  </mergeCells>
  <pageMargins left="0.70866141732283472" right="0.70866141732283472" top="0.74803149606299213" bottom="0.74803149606299213" header="0.31496062992125984" footer="0.31496062992125984"/>
  <pageSetup paperSize="9" orientation="landscape" r:id="rId1"/>
  <drawing r:id="rId2"/>
</worksheet>
</file>

<file path=xl/worksheets/sheet33.xml><?xml version="1.0" encoding="utf-8"?>
<worksheet xmlns="http://schemas.openxmlformats.org/spreadsheetml/2006/main" xmlns:r="http://schemas.openxmlformats.org/officeDocument/2006/relationships">
  <dimension ref="A1:G19"/>
  <sheetViews>
    <sheetView workbookViewId="0">
      <selection sqref="A1:G21"/>
    </sheetView>
  </sheetViews>
  <sheetFormatPr defaultRowHeight="15"/>
  <cols>
    <col min="1" max="1" width="13" customWidth="1"/>
    <col min="3" max="3" width="15.140625" customWidth="1"/>
    <col min="4" max="4" width="43.42578125" customWidth="1"/>
    <col min="7" max="7" width="9.28515625" bestFit="1" customWidth="1"/>
  </cols>
  <sheetData>
    <row r="1" spans="1:7" ht="21">
      <c r="A1" s="279" t="s">
        <v>115</v>
      </c>
      <c r="B1" s="279"/>
      <c r="C1" s="279"/>
      <c r="D1" s="279"/>
      <c r="E1" s="279"/>
      <c r="F1" s="279"/>
      <c r="G1" s="279"/>
    </row>
    <row r="2" spans="1:7" ht="15.75">
      <c r="A2" s="236"/>
    </row>
    <row r="3" spans="1:7" ht="21">
      <c r="A3" s="280" t="s">
        <v>260</v>
      </c>
      <c r="B3" s="280"/>
      <c r="C3" s="280"/>
      <c r="D3" s="280"/>
      <c r="E3" s="280"/>
      <c r="F3" s="280"/>
      <c r="G3" s="280"/>
    </row>
    <row r="4" spans="1:7" ht="15.75">
      <c r="A4" s="237"/>
    </row>
    <row r="5" spans="1:7" ht="15.75">
      <c r="A5" s="237" t="s">
        <v>382</v>
      </c>
    </row>
    <row r="6" spans="1:7" ht="16.5" thickBot="1">
      <c r="A6" s="238"/>
    </row>
    <row r="7" spans="1:7" ht="15.75" thickBot="1">
      <c r="A7" s="239" t="s">
        <v>261</v>
      </c>
      <c r="B7" s="240" t="s">
        <v>262</v>
      </c>
      <c r="C7" s="239" t="s">
        <v>48</v>
      </c>
      <c r="D7" s="281" t="s">
        <v>263</v>
      </c>
      <c r="E7" s="283" t="s">
        <v>264</v>
      </c>
      <c r="F7" s="284"/>
      <c r="G7" s="285"/>
    </row>
    <row r="8" spans="1:7" ht="15.75" thickBot="1">
      <c r="A8" s="241" t="s">
        <v>265</v>
      </c>
      <c r="B8" s="242" t="s">
        <v>265</v>
      </c>
      <c r="C8" s="241"/>
      <c r="D8" s="282"/>
      <c r="E8" s="243" t="s">
        <v>266</v>
      </c>
      <c r="F8" s="243" t="s">
        <v>15</v>
      </c>
      <c r="G8" s="243" t="s">
        <v>16</v>
      </c>
    </row>
    <row r="9" spans="1:7" ht="15.75" thickBot="1">
      <c r="A9" s="244" t="s">
        <v>383</v>
      </c>
      <c r="B9" s="246" t="s">
        <v>193</v>
      </c>
      <c r="C9" s="245" t="s">
        <v>287</v>
      </c>
      <c r="D9" s="245" t="s">
        <v>195</v>
      </c>
      <c r="E9" s="247">
        <v>162.5</v>
      </c>
      <c r="F9" s="247"/>
      <c r="G9" s="247">
        <f>E9+F9</f>
        <v>162.5</v>
      </c>
    </row>
    <row r="10" spans="1:7" ht="15.75" thickBot="1">
      <c r="A10" s="244" t="s">
        <v>384</v>
      </c>
      <c r="B10" s="246" t="s">
        <v>193</v>
      </c>
      <c r="C10" s="245" t="s">
        <v>253</v>
      </c>
      <c r="D10" s="245" t="s">
        <v>272</v>
      </c>
      <c r="E10" s="247">
        <v>336.99</v>
      </c>
      <c r="F10" s="247"/>
      <c r="G10" s="247">
        <f t="shared" ref="G10:G11" si="0">E10+F10</f>
        <v>336.99</v>
      </c>
    </row>
    <row r="11" spans="1:7" ht="15.75" thickBot="1">
      <c r="A11" s="244" t="s">
        <v>385</v>
      </c>
      <c r="B11" s="246" t="s">
        <v>193</v>
      </c>
      <c r="C11" s="245" t="s">
        <v>4</v>
      </c>
      <c r="D11" s="245" t="s">
        <v>274</v>
      </c>
      <c r="E11" s="247">
        <v>79.599999999999994</v>
      </c>
      <c r="F11" s="247"/>
      <c r="G11" s="247">
        <f t="shared" si="0"/>
        <v>79.599999999999994</v>
      </c>
    </row>
    <row r="14" spans="1:7" ht="15.75">
      <c r="A14" s="237"/>
    </row>
    <row r="15" spans="1:7" ht="18.75">
      <c r="A15" s="237" t="s">
        <v>277</v>
      </c>
      <c r="G15" s="256" t="s">
        <v>386</v>
      </c>
    </row>
    <row r="16" spans="1:7" ht="15.75">
      <c r="A16" s="238"/>
    </row>
    <row r="17" spans="1:7" ht="15.75">
      <c r="A17" s="249" t="s">
        <v>388</v>
      </c>
      <c r="B17" s="249"/>
      <c r="C17" s="249"/>
      <c r="D17" s="249"/>
      <c r="E17" s="249"/>
      <c r="F17" s="249"/>
      <c r="G17" s="248" t="s">
        <v>387</v>
      </c>
    </row>
    <row r="18" spans="1:7" ht="15.75">
      <c r="A18" s="237"/>
    </row>
    <row r="19" spans="1:7" ht="15.75">
      <c r="A19" s="237" t="s">
        <v>278</v>
      </c>
    </row>
  </sheetData>
  <mergeCells count="4">
    <mergeCell ref="A1:G1"/>
    <mergeCell ref="A3:G3"/>
    <mergeCell ref="D7:D8"/>
    <mergeCell ref="E7:G7"/>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dimension ref="A1:J72"/>
  <sheetViews>
    <sheetView workbookViewId="0">
      <selection activeCell="C6" sqref="C6"/>
    </sheetView>
  </sheetViews>
  <sheetFormatPr defaultRowHeight="15"/>
  <cols>
    <col min="1" max="1" width="14" bestFit="1" customWidth="1"/>
    <col min="2" max="2" width="17.7109375" bestFit="1" customWidth="1"/>
    <col min="3" max="3" width="26.140625" bestFit="1" customWidth="1"/>
    <col min="4" max="4" width="8.5703125" bestFit="1" customWidth="1"/>
    <col min="5" max="5" width="7.5703125" bestFit="1" customWidth="1"/>
    <col min="6" max="6" width="8.5703125" bestFit="1" customWidth="1"/>
    <col min="8" max="8" width="12.7109375" bestFit="1" customWidth="1"/>
    <col min="9" max="9" width="26.42578125" bestFit="1" customWidth="1"/>
  </cols>
  <sheetData>
    <row r="1" spans="1:6" ht="15.75">
      <c r="A1" s="286" t="s">
        <v>47</v>
      </c>
      <c r="B1" s="286" t="s">
        <v>48</v>
      </c>
      <c r="C1" s="286" t="s">
        <v>49</v>
      </c>
      <c r="D1" s="286" t="s">
        <v>50</v>
      </c>
      <c r="E1" s="286" t="s">
        <v>15</v>
      </c>
      <c r="F1" s="286" t="s">
        <v>16</v>
      </c>
    </row>
    <row r="2" spans="1:6">
      <c r="A2" s="218" t="s">
        <v>193</v>
      </c>
      <c r="B2" s="144" t="s">
        <v>4</v>
      </c>
      <c r="C2" s="144" t="s">
        <v>274</v>
      </c>
      <c r="D2" s="210">
        <v>73.8</v>
      </c>
      <c r="E2" s="219"/>
      <c r="F2" s="100">
        <f t="shared" ref="F2:F58" si="0">D2+E2</f>
        <v>73.8</v>
      </c>
    </row>
    <row r="3" spans="1:6">
      <c r="A3" s="218" t="s">
        <v>193</v>
      </c>
      <c r="B3" s="144" t="s">
        <v>117</v>
      </c>
      <c r="C3" s="144" t="s">
        <v>195</v>
      </c>
      <c r="D3" s="210">
        <v>148.72</v>
      </c>
      <c r="E3" s="219"/>
      <c r="F3" s="100">
        <f t="shared" si="0"/>
        <v>148.72</v>
      </c>
    </row>
    <row r="4" spans="1:6">
      <c r="A4" s="218" t="s">
        <v>193</v>
      </c>
      <c r="B4" s="144" t="s">
        <v>89</v>
      </c>
      <c r="C4" s="144" t="s">
        <v>390</v>
      </c>
      <c r="D4" s="210">
        <v>325.88</v>
      </c>
      <c r="E4" s="219"/>
      <c r="F4" s="100">
        <f t="shared" si="0"/>
        <v>325.88</v>
      </c>
    </row>
    <row r="5" spans="1:6">
      <c r="A5" s="218" t="s">
        <v>193</v>
      </c>
      <c r="B5" s="144" t="s">
        <v>238</v>
      </c>
      <c r="C5" s="144" t="s">
        <v>197</v>
      </c>
      <c r="D5" s="210">
        <v>454.64</v>
      </c>
      <c r="E5" s="219">
        <f>D5/5</f>
        <v>90.927999999999997</v>
      </c>
      <c r="F5" s="100">
        <f t="shared" si="0"/>
        <v>545.56799999999998</v>
      </c>
    </row>
    <row r="6" spans="1:6">
      <c r="A6" s="254" t="s">
        <v>193</v>
      </c>
      <c r="B6" s="122" t="s">
        <v>4</v>
      </c>
      <c r="C6" s="119" t="s">
        <v>274</v>
      </c>
      <c r="D6" s="209">
        <v>74</v>
      </c>
      <c r="E6" s="209"/>
      <c r="F6" s="100">
        <f t="shared" si="0"/>
        <v>74</v>
      </c>
    </row>
    <row r="7" spans="1:6">
      <c r="A7" s="186" t="s">
        <v>193</v>
      </c>
      <c r="B7" s="101" t="s">
        <v>134</v>
      </c>
      <c r="C7" s="121" t="s">
        <v>6</v>
      </c>
      <c r="D7" s="100">
        <v>60</v>
      </c>
      <c r="E7" s="100"/>
      <c r="F7" s="100">
        <f t="shared" si="0"/>
        <v>60</v>
      </c>
    </row>
    <row r="8" spans="1:6">
      <c r="A8" s="255" t="s">
        <v>193</v>
      </c>
      <c r="B8" s="230" t="s">
        <v>89</v>
      </c>
      <c r="C8" s="230" t="s">
        <v>369</v>
      </c>
      <c r="D8" s="185">
        <v>28.78</v>
      </c>
      <c r="E8" s="100"/>
      <c r="F8" s="100">
        <f t="shared" si="0"/>
        <v>28.78</v>
      </c>
    </row>
    <row r="9" spans="1:6">
      <c r="A9" s="186" t="s">
        <v>193</v>
      </c>
      <c r="B9" s="101" t="s">
        <v>89</v>
      </c>
      <c r="C9" s="121" t="s">
        <v>390</v>
      </c>
      <c r="D9" s="100">
        <v>310.68</v>
      </c>
      <c r="E9" s="100"/>
      <c r="F9" s="100">
        <f t="shared" si="0"/>
        <v>310.68</v>
      </c>
    </row>
    <row r="10" spans="1:6">
      <c r="A10" s="186" t="s">
        <v>193</v>
      </c>
      <c r="B10" s="121" t="s">
        <v>117</v>
      </c>
      <c r="C10" s="121" t="s">
        <v>195</v>
      </c>
      <c r="D10" s="100">
        <v>148.72</v>
      </c>
      <c r="E10" s="100"/>
      <c r="F10" s="100">
        <f t="shared" si="0"/>
        <v>148.72</v>
      </c>
    </row>
    <row r="11" spans="1:6">
      <c r="A11" s="186" t="s">
        <v>193</v>
      </c>
      <c r="B11" s="121" t="s">
        <v>9</v>
      </c>
      <c r="C11" s="121" t="s">
        <v>391</v>
      </c>
      <c r="D11" s="100">
        <v>639.86</v>
      </c>
      <c r="E11" s="100"/>
      <c r="F11" s="100">
        <f t="shared" si="0"/>
        <v>639.86</v>
      </c>
    </row>
    <row r="12" spans="1:6">
      <c r="A12" s="186" t="s">
        <v>193</v>
      </c>
      <c r="B12" s="121" t="s">
        <v>370</v>
      </c>
      <c r="C12" s="121" t="s">
        <v>392</v>
      </c>
      <c r="D12" s="100">
        <v>4345.2</v>
      </c>
      <c r="E12" s="100"/>
      <c r="F12" s="100">
        <f t="shared" si="0"/>
        <v>4345.2</v>
      </c>
    </row>
    <row r="13" spans="1:6">
      <c r="A13" s="186" t="s">
        <v>193</v>
      </c>
      <c r="B13" s="121" t="s">
        <v>371</v>
      </c>
      <c r="C13" s="121" t="s">
        <v>393</v>
      </c>
      <c r="D13" s="100">
        <v>953.4</v>
      </c>
      <c r="E13" s="100">
        <f>D13/100*20</f>
        <v>190.67999999999998</v>
      </c>
      <c r="F13" s="100">
        <f t="shared" si="0"/>
        <v>1144.08</v>
      </c>
    </row>
    <row r="14" spans="1:6">
      <c r="A14" s="186" t="s">
        <v>193</v>
      </c>
      <c r="B14" s="121" t="s">
        <v>117</v>
      </c>
      <c r="C14" s="121" t="s">
        <v>195</v>
      </c>
      <c r="D14" s="100">
        <v>148.72</v>
      </c>
      <c r="E14" s="100"/>
      <c r="F14" s="100">
        <f t="shared" si="0"/>
        <v>148.72</v>
      </c>
    </row>
    <row r="15" spans="1:6">
      <c r="A15" s="186" t="s">
        <v>193</v>
      </c>
      <c r="B15" s="121" t="s">
        <v>4</v>
      </c>
      <c r="C15" s="121" t="s">
        <v>274</v>
      </c>
      <c r="D15" s="100">
        <v>74</v>
      </c>
      <c r="E15" s="100"/>
      <c r="F15" s="100">
        <f t="shared" si="0"/>
        <v>74</v>
      </c>
    </row>
    <row r="16" spans="1:6">
      <c r="A16" s="186" t="s">
        <v>193</v>
      </c>
      <c r="B16" s="121" t="s">
        <v>89</v>
      </c>
      <c r="C16" s="121" t="s">
        <v>390</v>
      </c>
      <c r="D16" s="100">
        <v>310.68</v>
      </c>
      <c r="E16" s="100"/>
      <c r="F16" s="100">
        <f t="shared" si="0"/>
        <v>310.68</v>
      </c>
    </row>
    <row r="17" spans="1:10">
      <c r="A17" s="186" t="s">
        <v>193</v>
      </c>
      <c r="B17" s="121" t="s">
        <v>371</v>
      </c>
      <c r="C17" s="121" t="s">
        <v>393</v>
      </c>
      <c r="D17" s="100">
        <v>953.4</v>
      </c>
      <c r="E17" s="100">
        <v>190.68</v>
      </c>
      <c r="F17" s="100">
        <f t="shared" si="0"/>
        <v>1144.08</v>
      </c>
    </row>
    <row r="18" spans="1:10">
      <c r="A18" s="186" t="s">
        <v>193</v>
      </c>
      <c r="B18" s="121" t="s">
        <v>4</v>
      </c>
      <c r="C18" s="121" t="s">
        <v>274</v>
      </c>
      <c r="D18" s="100">
        <v>73.8</v>
      </c>
      <c r="E18" s="100"/>
      <c r="F18" s="100">
        <f t="shared" si="0"/>
        <v>73.8</v>
      </c>
    </row>
    <row r="19" spans="1:10">
      <c r="A19" s="217" t="s">
        <v>193</v>
      </c>
      <c r="B19" s="121" t="s">
        <v>117</v>
      </c>
      <c r="C19" s="121" t="s">
        <v>195</v>
      </c>
      <c r="D19" s="100">
        <v>148.72</v>
      </c>
      <c r="E19" s="100"/>
      <c r="F19" s="100">
        <f t="shared" si="0"/>
        <v>148.72</v>
      </c>
    </row>
    <row r="20" spans="1:10">
      <c r="A20" s="186" t="s">
        <v>193</v>
      </c>
      <c r="B20" s="121" t="s">
        <v>89</v>
      </c>
      <c r="C20" s="121" t="s">
        <v>390</v>
      </c>
      <c r="D20" s="100">
        <v>325.88</v>
      </c>
      <c r="E20" s="100"/>
      <c r="F20" s="100">
        <f t="shared" si="0"/>
        <v>325.88</v>
      </c>
    </row>
    <row r="21" spans="1:10">
      <c r="A21" s="186" t="s">
        <v>193</v>
      </c>
      <c r="B21" s="121" t="s">
        <v>237</v>
      </c>
      <c r="C21" s="121" t="s">
        <v>393</v>
      </c>
      <c r="D21" s="100">
        <v>1370</v>
      </c>
      <c r="E21" s="100">
        <f>D21/5</f>
        <v>274</v>
      </c>
      <c r="F21" s="100">
        <f t="shared" si="0"/>
        <v>1644</v>
      </c>
    </row>
    <row r="22" spans="1:10">
      <c r="A22" s="186" t="s">
        <v>193</v>
      </c>
      <c r="B22" s="121" t="s">
        <v>129</v>
      </c>
      <c r="C22" s="121" t="s">
        <v>194</v>
      </c>
      <c r="D22" s="100">
        <v>92.55</v>
      </c>
      <c r="E22" s="100">
        <f>D22/5</f>
        <v>18.509999999999998</v>
      </c>
      <c r="F22" s="100">
        <f t="shared" si="0"/>
        <v>111.06</v>
      </c>
    </row>
    <row r="23" spans="1:10">
      <c r="A23" s="186" t="s">
        <v>193</v>
      </c>
      <c r="B23" s="121" t="s">
        <v>4</v>
      </c>
      <c r="C23" s="121" t="s">
        <v>274</v>
      </c>
      <c r="D23" s="100">
        <v>73.8</v>
      </c>
      <c r="E23" s="100"/>
      <c r="F23" s="100">
        <f t="shared" si="0"/>
        <v>73.8</v>
      </c>
    </row>
    <row r="24" spans="1:10">
      <c r="A24" s="186" t="s">
        <v>193</v>
      </c>
      <c r="B24" s="121" t="s">
        <v>117</v>
      </c>
      <c r="C24" s="121" t="s">
        <v>195</v>
      </c>
      <c r="D24" s="100">
        <v>148.72</v>
      </c>
      <c r="E24" s="100"/>
      <c r="F24" s="100">
        <f t="shared" si="0"/>
        <v>148.72</v>
      </c>
      <c r="H24" s="116"/>
    </row>
    <row r="25" spans="1:10">
      <c r="A25" s="186" t="s">
        <v>193</v>
      </c>
      <c r="B25" s="121" t="s">
        <v>89</v>
      </c>
      <c r="C25" s="121" t="s">
        <v>390</v>
      </c>
      <c r="D25" s="100">
        <v>310.68</v>
      </c>
      <c r="E25" s="100"/>
      <c r="F25" s="100">
        <f t="shared" si="0"/>
        <v>310.68</v>
      </c>
      <c r="H25" s="231"/>
    </row>
    <row r="26" spans="1:10">
      <c r="A26" s="186" t="s">
        <v>193</v>
      </c>
      <c r="B26" s="121" t="s">
        <v>117</v>
      </c>
      <c r="C26" s="121" t="s">
        <v>195</v>
      </c>
      <c r="D26" s="100">
        <v>148.72</v>
      </c>
      <c r="E26" s="100"/>
      <c r="F26" s="100">
        <f t="shared" si="0"/>
        <v>148.72</v>
      </c>
      <c r="H26" s="231"/>
    </row>
    <row r="27" spans="1:10">
      <c r="A27" s="186" t="s">
        <v>193</v>
      </c>
      <c r="B27" s="121" t="s">
        <v>4</v>
      </c>
      <c r="C27" s="121" t="s">
        <v>274</v>
      </c>
      <c r="D27" s="100">
        <v>74</v>
      </c>
      <c r="E27" s="100"/>
      <c r="F27" s="100">
        <f t="shared" si="0"/>
        <v>74</v>
      </c>
      <c r="H27" s="231"/>
    </row>
    <row r="28" spans="1:10">
      <c r="A28" s="186" t="s">
        <v>193</v>
      </c>
      <c r="B28" s="121" t="s">
        <v>89</v>
      </c>
      <c r="C28" s="121" t="s">
        <v>390</v>
      </c>
      <c r="D28" s="100">
        <v>310.68</v>
      </c>
      <c r="E28" s="100"/>
      <c r="F28" s="100">
        <f t="shared" si="0"/>
        <v>310.68</v>
      </c>
      <c r="H28" s="116"/>
    </row>
    <row r="29" spans="1:10">
      <c r="A29" s="186" t="s">
        <v>193</v>
      </c>
      <c r="B29" s="121" t="s">
        <v>308</v>
      </c>
      <c r="C29" s="121" t="s">
        <v>394</v>
      </c>
      <c r="D29" s="100">
        <v>98</v>
      </c>
      <c r="E29" s="120">
        <f>D29/5</f>
        <v>19.600000000000001</v>
      </c>
      <c r="F29" s="100">
        <f t="shared" si="0"/>
        <v>117.6</v>
      </c>
      <c r="H29" s="231"/>
    </row>
    <row r="30" spans="1:10">
      <c r="A30" s="186" t="s">
        <v>193</v>
      </c>
      <c r="B30" s="121" t="s">
        <v>395</v>
      </c>
      <c r="C30" s="121" t="s">
        <v>322</v>
      </c>
      <c r="D30" s="100">
        <v>182.38</v>
      </c>
      <c r="E30" s="100">
        <v>36.47</v>
      </c>
      <c r="F30" s="100">
        <f t="shared" si="0"/>
        <v>218.85</v>
      </c>
      <c r="H30" s="231"/>
    </row>
    <row r="31" spans="1:10">
      <c r="A31" s="186" t="s">
        <v>193</v>
      </c>
      <c r="B31" s="121" t="s">
        <v>4</v>
      </c>
      <c r="C31" s="121" t="s">
        <v>274</v>
      </c>
      <c r="D31" s="100">
        <v>73.8</v>
      </c>
      <c r="E31" s="100"/>
      <c r="F31" s="100">
        <f t="shared" si="0"/>
        <v>73.8</v>
      </c>
      <c r="H31" s="231"/>
    </row>
    <row r="32" spans="1:10">
      <c r="A32" s="186" t="s">
        <v>193</v>
      </c>
      <c r="B32" s="121" t="s">
        <v>89</v>
      </c>
      <c r="C32" s="121" t="s">
        <v>191</v>
      </c>
      <c r="D32" s="100">
        <v>70.349999999999994</v>
      </c>
      <c r="E32" s="100"/>
      <c r="F32" s="100">
        <f t="shared" si="0"/>
        <v>70.349999999999994</v>
      </c>
      <c r="H32" s="116"/>
      <c r="I32" s="193"/>
      <c r="J32" s="115"/>
    </row>
    <row r="33" spans="1:10">
      <c r="A33" s="186" t="s">
        <v>193</v>
      </c>
      <c r="B33" s="121" t="s">
        <v>370</v>
      </c>
      <c r="C33" s="121" t="s">
        <v>392</v>
      </c>
      <c r="D33" s="100">
        <v>4804.8</v>
      </c>
      <c r="E33" s="100"/>
      <c r="F33" s="100">
        <f t="shared" si="0"/>
        <v>4804.8</v>
      </c>
      <c r="H33" s="231"/>
      <c r="I33" s="193"/>
      <c r="J33" s="115"/>
    </row>
    <row r="34" spans="1:10">
      <c r="A34" s="186" t="s">
        <v>193</v>
      </c>
      <c r="B34" s="121" t="s">
        <v>89</v>
      </c>
      <c r="C34" s="121" t="s">
        <v>390</v>
      </c>
      <c r="D34" s="100">
        <v>325.88</v>
      </c>
      <c r="E34" s="100"/>
      <c r="F34" s="100">
        <f t="shared" si="0"/>
        <v>325.88</v>
      </c>
      <c r="H34" s="116"/>
      <c r="I34" s="97"/>
      <c r="J34" s="158"/>
    </row>
    <row r="35" spans="1:10">
      <c r="A35" s="186" t="s">
        <v>193</v>
      </c>
      <c r="B35" s="121" t="s">
        <v>117</v>
      </c>
      <c r="C35" s="121" t="s">
        <v>195</v>
      </c>
      <c r="D35" s="100">
        <v>148.72</v>
      </c>
      <c r="E35" s="100"/>
      <c r="F35" s="100">
        <f t="shared" si="0"/>
        <v>148.72</v>
      </c>
      <c r="H35" s="116"/>
    </row>
    <row r="36" spans="1:10">
      <c r="A36" s="186" t="s">
        <v>193</v>
      </c>
      <c r="B36" s="121" t="s">
        <v>117</v>
      </c>
      <c r="C36" s="121" t="s">
        <v>195</v>
      </c>
      <c r="D36" s="100">
        <v>148.72</v>
      </c>
      <c r="E36" s="100"/>
      <c r="F36" s="100">
        <f t="shared" si="0"/>
        <v>148.72</v>
      </c>
      <c r="H36" s="231"/>
    </row>
    <row r="37" spans="1:10">
      <c r="A37" s="186" t="s">
        <v>193</v>
      </c>
      <c r="B37" s="121" t="s">
        <v>4</v>
      </c>
      <c r="C37" s="121" t="s">
        <v>274</v>
      </c>
      <c r="D37" s="100">
        <v>100</v>
      </c>
      <c r="E37" s="100"/>
      <c r="F37" s="100">
        <f t="shared" si="0"/>
        <v>100</v>
      </c>
      <c r="H37" s="116"/>
    </row>
    <row r="38" spans="1:10">
      <c r="A38" s="186" t="s">
        <v>193</v>
      </c>
      <c r="B38" s="121" t="s">
        <v>89</v>
      </c>
      <c r="C38" s="121" t="s">
        <v>390</v>
      </c>
      <c r="D38" s="100">
        <v>438.24</v>
      </c>
      <c r="E38" s="100"/>
      <c r="F38" s="100">
        <f t="shared" si="0"/>
        <v>438.24</v>
      </c>
      <c r="H38" s="116"/>
    </row>
    <row r="39" spans="1:10">
      <c r="A39" s="186" t="s">
        <v>193</v>
      </c>
      <c r="B39" s="121" t="s">
        <v>4</v>
      </c>
      <c r="C39" s="121" t="s">
        <v>274</v>
      </c>
      <c r="D39" s="100">
        <v>77</v>
      </c>
      <c r="E39" s="100"/>
      <c r="F39" s="100">
        <f t="shared" si="0"/>
        <v>77</v>
      </c>
      <c r="H39" s="231"/>
    </row>
    <row r="40" spans="1:10">
      <c r="A40" s="186" t="s">
        <v>193</v>
      </c>
      <c r="B40" s="121" t="s">
        <v>117</v>
      </c>
      <c r="C40" s="121" t="s">
        <v>195</v>
      </c>
      <c r="D40" s="100">
        <v>148.72</v>
      </c>
      <c r="E40" s="100"/>
      <c r="F40" s="100">
        <f t="shared" si="0"/>
        <v>148.72</v>
      </c>
      <c r="H40" s="116"/>
    </row>
    <row r="41" spans="1:10">
      <c r="A41" s="186" t="s">
        <v>193</v>
      </c>
      <c r="B41" s="121" t="s">
        <v>89</v>
      </c>
      <c r="C41" s="121" t="s">
        <v>390</v>
      </c>
      <c r="D41" s="100">
        <v>326.83999999999997</v>
      </c>
      <c r="E41" s="100"/>
      <c r="F41" s="100">
        <f t="shared" si="0"/>
        <v>326.83999999999997</v>
      </c>
      <c r="H41" s="116"/>
    </row>
    <row r="42" spans="1:10">
      <c r="A42" s="186" t="s">
        <v>193</v>
      </c>
      <c r="B42" s="121" t="s">
        <v>117</v>
      </c>
      <c r="C42" s="121" t="s">
        <v>195</v>
      </c>
      <c r="D42" s="100">
        <v>40</v>
      </c>
      <c r="E42" s="100"/>
      <c r="F42" s="100">
        <f t="shared" si="0"/>
        <v>40</v>
      </c>
      <c r="H42" s="231"/>
    </row>
    <row r="43" spans="1:10">
      <c r="A43" s="186" t="s">
        <v>193</v>
      </c>
      <c r="B43" s="121" t="s">
        <v>372</v>
      </c>
      <c r="C43" s="121" t="s">
        <v>396</v>
      </c>
      <c r="D43" s="100">
        <v>119.88</v>
      </c>
      <c r="E43" s="100">
        <f>D43/5</f>
        <v>23.975999999999999</v>
      </c>
      <c r="F43" s="100">
        <f t="shared" si="0"/>
        <v>143.85599999999999</v>
      </c>
      <c r="H43" s="231"/>
    </row>
    <row r="44" spans="1:10">
      <c r="A44" s="186" t="s">
        <v>193</v>
      </c>
      <c r="B44" s="121" t="s">
        <v>117</v>
      </c>
      <c r="C44" s="121" t="s">
        <v>195</v>
      </c>
      <c r="D44" s="100">
        <v>148.72</v>
      </c>
      <c r="E44" s="100"/>
      <c r="F44" s="100">
        <f t="shared" si="0"/>
        <v>148.72</v>
      </c>
      <c r="H44" s="231"/>
    </row>
    <row r="45" spans="1:10">
      <c r="A45" s="186" t="s">
        <v>193</v>
      </c>
      <c r="B45" s="121" t="s">
        <v>89</v>
      </c>
      <c r="C45" s="121" t="s">
        <v>390</v>
      </c>
      <c r="D45" s="100">
        <v>323.64</v>
      </c>
      <c r="E45" s="100"/>
      <c r="F45" s="100">
        <f t="shared" si="0"/>
        <v>323.64</v>
      </c>
      <c r="H45" s="116"/>
    </row>
    <row r="46" spans="1:10">
      <c r="A46" s="186" t="s">
        <v>193</v>
      </c>
      <c r="B46" s="121" t="s">
        <v>129</v>
      </c>
      <c r="C46" s="121" t="s">
        <v>194</v>
      </c>
      <c r="D46" s="100">
        <v>92.55</v>
      </c>
      <c r="E46" s="100">
        <v>18.510000000000002</v>
      </c>
      <c r="F46" s="100">
        <f t="shared" si="0"/>
        <v>111.06</v>
      </c>
      <c r="H46" s="231"/>
    </row>
    <row r="47" spans="1:10">
      <c r="A47" s="186" t="s">
        <v>193</v>
      </c>
      <c r="B47" s="121" t="s">
        <v>224</v>
      </c>
      <c r="C47" s="121" t="s">
        <v>8</v>
      </c>
      <c r="D47" s="100">
        <v>250</v>
      </c>
      <c r="E47" s="100">
        <v>50</v>
      </c>
      <c r="F47" s="100">
        <f t="shared" si="0"/>
        <v>300</v>
      </c>
      <c r="H47" s="231"/>
    </row>
    <row r="48" spans="1:10">
      <c r="A48" s="186" t="s">
        <v>193</v>
      </c>
      <c r="B48" s="121" t="s">
        <v>4</v>
      </c>
      <c r="C48" s="121" t="s">
        <v>274</v>
      </c>
      <c r="D48" s="100">
        <v>77.2</v>
      </c>
      <c r="E48" s="100"/>
      <c r="F48" s="100">
        <f t="shared" si="0"/>
        <v>77.2</v>
      </c>
      <c r="H48" s="97"/>
    </row>
    <row r="49" spans="1:8">
      <c r="A49" s="186" t="s">
        <v>193</v>
      </c>
      <c r="B49" s="121" t="s">
        <v>117</v>
      </c>
      <c r="C49" s="121" t="s">
        <v>195</v>
      </c>
      <c r="D49" s="100">
        <v>148.72</v>
      </c>
      <c r="E49" s="100"/>
      <c r="F49" s="100">
        <f t="shared" si="0"/>
        <v>148.72</v>
      </c>
      <c r="H49" s="116"/>
    </row>
    <row r="50" spans="1:8">
      <c r="A50" s="186" t="s">
        <v>193</v>
      </c>
      <c r="B50" s="121" t="s">
        <v>89</v>
      </c>
      <c r="C50" s="121" t="s">
        <v>390</v>
      </c>
      <c r="D50" s="100">
        <v>329.64</v>
      </c>
      <c r="E50" s="100"/>
      <c r="F50" s="100">
        <f t="shared" si="0"/>
        <v>329.64</v>
      </c>
      <c r="H50" s="231"/>
    </row>
    <row r="51" spans="1:8">
      <c r="A51" s="186" t="s">
        <v>193</v>
      </c>
      <c r="B51" s="121" t="s">
        <v>4</v>
      </c>
      <c r="C51" s="121" t="s">
        <v>274</v>
      </c>
      <c r="D51" s="100">
        <v>77.2</v>
      </c>
      <c r="E51" s="100"/>
      <c r="F51" s="100">
        <f t="shared" si="0"/>
        <v>77.2</v>
      </c>
      <c r="H51" s="231"/>
    </row>
    <row r="52" spans="1:8">
      <c r="A52" s="186" t="s">
        <v>193</v>
      </c>
      <c r="B52" s="121" t="s">
        <v>4</v>
      </c>
      <c r="C52" s="121" t="s">
        <v>274</v>
      </c>
      <c r="D52" s="100">
        <v>77.2</v>
      </c>
      <c r="E52" s="100"/>
      <c r="F52" s="100">
        <f t="shared" si="0"/>
        <v>77.2</v>
      </c>
      <c r="H52" s="231"/>
    </row>
    <row r="53" spans="1:8">
      <c r="A53" s="186" t="s">
        <v>193</v>
      </c>
      <c r="B53" s="121" t="s">
        <v>117</v>
      </c>
      <c r="C53" s="121" t="s">
        <v>195</v>
      </c>
      <c r="D53" s="100">
        <v>148.72</v>
      </c>
      <c r="E53" s="100"/>
      <c r="F53" s="100">
        <f t="shared" si="0"/>
        <v>148.72</v>
      </c>
      <c r="H53" s="231"/>
    </row>
    <row r="54" spans="1:8">
      <c r="A54" s="186" t="s">
        <v>193</v>
      </c>
      <c r="B54" s="121" t="s">
        <v>89</v>
      </c>
      <c r="C54" s="121" t="s">
        <v>390</v>
      </c>
      <c r="D54" s="100">
        <v>326.64</v>
      </c>
      <c r="E54" s="100"/>
      <c r="F54" s="100">
        <f t="shared" si="0"/>
        <v>326.64</v>
      </c>
      <c r="H54" s="116"/>
    </row>
    <row r="55" spans="1:8">
      <c r="A55" s="186" t="s">
        <v>193</v>
      </c>
      <c r="B55" s="121" t="s">
        <v>397</v>
      </c>
      <c r="C55" s="121" t="s">
        <v>398</v>
      </c>
      <c r="D55" s="100">
        <v>25.5</v>
      </c>
      <c r="E55" s="100">
        <f>D55/5</f>
        <v>5.0999999999999996</v>
      </c>
      <c r="F55" s="100">
        <f t="shared" si="0"/>
        <v>30.6</v>
      </c>
      <c r="H55" s="231"/>
    </row>
    <row r="56" spans="1:8">
      <c r="A56" s="186" t="s">
        <v>193</v>
      </c>
      <c r="B56" s="121" t="s">
        <v>192</v>
      </c>
      <c r="C56" s="121" t="s">
        <v>399</v>
      </c>
      <c r="D56" s="100">
        <v>430</v>
      </c>
      <c r="E56" s="100"/>
      <c r="F56" s="100">
        <f t="shared" si="0"/>
        <v>430</v>
      </c>
      <c r="H56" s="231"/>
    </row>
    <row r="57" spans="1:8">
      <c r="A57" s="186" t="s">
        <v>193</v>
      </c>
      <c r="B57" s="121" t="s">
        <v>242</v>
      </c>
      <c r="C57" s="121" t="s">
        <v>244</v>
      </c>
      <c r="D57" s="100">
        <v>150</v>
      </c>
      <c r="E57" s="100">
        <v>30</v>
      </c>
      <c r="F57" s="100">
        <f t="shared" si="0"/>
        <v>180</v>
      </c>
      <c r="H57" s="231"/>
    </row>
    <row r="58" spans="1:8">
      <c r="A58" s="186" t="s">
        <v>193</v>
      </c>
      <c r="B58" s="121" t="s">
        <v>89</v>
      </c>
      <c r="C58" s="121" t="s">
        <v>191</v>
      </c>
      <c r="D58" s="100">
        <v>90.66</v>
      </c>
      <c r="E58" s="100"/>
      <c r="F58" s="100">
        <f t="shared" si="0"/>
        <v>90.66</v>
      </c>
      <c r="H58" s="231"/>
    </row>
    <row r="59" spans="1:8">
      <c r="A59" s="186"/>
      <c r="B59" s="186"/>
      <c r="C59" s="121"/>
      <c r="D59" s="100"/>
      <c r="E59" s="100"/>
      <c r="F59" s="100"/>
      <c r="H59" s="231"/>
    </row>
    <row r="60" spans="1:8">
      <c r="A60" s="141"/>
      <c r="B60" s="141"/>
      <c r="C60" s="121"/>
      <c r="D60" s="100"/>
      <c r="E60" s="100"/>
      <c r="F60" s="100"/>
      <c r="H60" s="231"/>
    </row>
    <row r="61" spans="1:8">
      <c r="A61" s="101"/>
      <c r="B61" s="101"/>
      <c r="C61" s="144"/>
      <c r="D61" s="142">
        <f>SUM(D2:D59)</f>
        <v>21927.750000000004</v>
      </c>
      <c r="E61" s="142">
        <f>SUM(E2:E59)</f>
        <v>948.45400000000006</v>
      </c>
      <c r="F61" s="100">
        <f>D61+E61</f>
        <v>22876.204000000005</v>
      </c>
      <c r="H61" s="231"/>
    </row>
    <row r="62" spans="1:8" ht="15.75">
      <c r="A62" s="1"/>
      <c r="B62" s="1"/>
      <c r="C62" s="2"/>
      <c r="D62" s="232">
        <f>SUM(D2:D61)</f>
        <v>43855.500000000007</v>
      </c>
      <c r="E62" s="232">
        <f>SUM(E2:E61)</f>
        <v>1896.9080000000001</v>
      </c>
      <c r="F62" s="232">
        <f>SUM(F2:F61)</f>
        <v>45752.40800000001</v>
      </c>
      <c r="H62" s="97"/>
    </row>
    <row r="63" spans="1:8" ht="15.75">
      <c r="A63" s="229"/>
      <c r="B63" s="229"/>
    </row>
    <row r="64" spans="1:8" ht="15.75">
      <c r="A64" s="1"/>
      <c r="B64" s="1"/>
    </row>
    <row r="65" spans="1:2" ht="15.75">
      <c r="A65" s="1"/>
      <c r="B65" s="1"/>
    </row>
    <row r="66" spans="1:2" ht="15.75">
      <c r="A66" s="1"/>
      <c r="B66" s="1"/>
    </row>
    <row r="67" spans="1:2" ht="15.75">
      <c r="A67" s="1"/>
      <c r="B67" s="1"/>
    </row>
    <row r="68" spans="1:2" ht="15.75">
      <c r="A68" s="1"/>
      <c r="B68" s="1"/>
    </row>
    <row r="69" spans="1:2" ht="15.75">
      <c r="A69" s="1"/>
      <c r="B69" s="1"/>
    </row>
    <row r="70" spans="1:2" ht="15.75">
      <c r="A70" s="1"/>
      <c r="B70" s="1"/>
    </row>
    <row r="71" spans="1:2" ht="15.75">
      <c r="A71" s="1"/>
      <c r="B71" s="1"/>
    </row>
    <row r="72" spans="1:2" ht="15.75">
      <c r="A72" s="1"/>
      <c r="B72" s="1"/>
    </row>
  </sheetData>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dimension ref="A1:I33"/>
  <sheetViews>
    <sheetView workbookViewId="0">
      <selection sqref="A1:E15"/>
    </sheetView>
  </sheetViews>
  <sheetFormatPr defaultRowHeight="15"/>
  <cols>
    <col min="1" max="1" width="10.140625" bestFit="1" customWidth="1"/>
    <col min="2" max="2" width="12.42578125" style="73" customWidth="1"/>
    <col min="3" max="3" width="43.85546875" bestFit="1" customWidth="1"/>
    <col min="4" max="4" width="34.5703125" bestFit="1" customWidth="1"/>
    <col min="5" max="5" width="10.5703125" bestFit="1" customWidth="1"/>
  </cols>
  <sheetData>
    <row r="1" spans="1:9" ht="51.75">
      <c r="A1" s="187" t="s">
        <v>52</v>
      </c>
      <c r="B1" s="188" t="s">
        <v>53</v>
      </c>
      <c r="C1" s="188" t="s">
        <v>54</v>
      </c>
      <c r="D1" s="188" t="s">
        <v>55</v>
      </c>
      <c r="E1" s="187" t="s">
        <v>56</v>
      </c>
      <c r="I1" s="97"/>
    </row>
    <row r="2" spans="1:9">
      <c r="A2" s="189">
        <v>45383</v>
      </c>
      <c r="B2" s="190">
        <v>509750927</v>
      </c>
      <c r="C2" s="191" t="s">
        <v>57</v>
      </c>
      <c r="D2" s="191" t="s">
        <v>115</v>
      </c>
      <c r="E2" s="158">
        <v>90.927999999999997</v>
      </c>
      <c r="I2" s="115"/>
    </row>
    <row r="3" spans="1:9">
      <c r="A3" s="189">
        <v>45449</v>
      </c>
      <c r="B3" s="190">
        <v>925298008</v>
      </c>
      <c r="C3" s="193" t="s">
        <v>196</v>
      </c>
      <c r="D3" s="191" t="s">
        <v>115</v>
      </c>
      <c r="E3" s="158">
        <v>381.36</v>
      </c>
      <c r="I3" s="115"/>
    </row>
    <row r="4" spans="1:9">
      <c r="A4" s="189">
        <v>45377</v>
      </c>
      <c r="B4" s="190">
        <v>624599412</v>
      </c>
      <c r="C4" s="73" t="s">
        <v>196</v>
      </c>
      <c r="D4" s="191" t="s">
        <v>115</v>
      </c>
      <c r="E4" s="158">
        <v>274</v>
      </c>
      <c r="I4" s="115"/>
    </row>
    <row r="5" spans="1:9">
      <c r="A5" s="189">
        <v>45509</v>
      </c>
      <c r="B5" s="190">
        <v>757996451</v>
      </c>
      <c r="C5" s="193" t="s">
        <v>194</v>
      </c>
      <c r="D5" s="233" t="s">
        <v>115</v>
      </c>
      <c r="E5" s="158">
        <v>18.509999999999998</v>
      </c>
      <c r="I5" s="115"/>
    </row>
    <row r="6" spans="1:9">
      <c r="A6" s="189">
        <v>45489</v>
      </c>
      <c r="B6" s="73">
        <v>876328389</v>
      </c>
      <c r="C6" s="193" t="s">
        <v>198</v>
      </c>
      <c r="D6" s="233" t="s">
        <v>115</v>
      </c>
      <c r="E6" s="158">
        <v>19.600000000000001</v>
      </c>
      <c r="I6" s="115"/>
    </row>
    <row r="7" spans="1:9">
      <c r="A7" s="189">
        <v>45568</v>
      </c>
      <c r="B7" s="190">
        <v>808117836</v>
      </c>
      <c r="C7" s="193" t="s">
        <v>322</v>
      </c>
      <c r="D7" s="191" t="s">
        <v>115</v>
      </c>
      <c r="E7" s="158">
        <v>36.47</v>
      </c>
      <c r="I7" s="115"/>
    </row>
    <row r="8" spans="1:9">
      <c r="A8" s="189">
        <v>45407</v>
      </c>
      <c r="B8" s="235">
        <v>720821857</v>
      </c>
      <c r="C8" s="193" t="s">
        <v>64</v>
      </c>
      <c r="D8" s="191" t="s">
        <v>115</v>
      </c>
      <c r="E8" s="98">
        <v>4.8</v>
      </c>
      <c r="I8" s="115"/>
    </row>
    <row r="9" spans="1:9">
      <c r="A9" s="189">
        <v>45660</v>
      </c>
      <c r="B9" s="235">
        <v>876328389</v>
      </c>
      <c r="C9" s="193" t="s">
        <v>64</v>
      </c>
      <c r="D9" s="191" t="s">
        <v>115</v>
      </c>
      <c r="E9" s="98">
        <f>143.86/120*20</f>
        <v>23.976666666666667</v>
      </c>
      <c r="I9" s="115"/>
    </row>
    <row r="10" spans="1:9">
      <c r="A10" s="189">
        <v>45629</v>
      </c>
      <c r="B10" s="190">
        <v>757996451</v>
      </c>
      <c r="C10" s="193" t="s">
        <v>194</v>
      </c>
      <c r="D10" s="191" t="s">
        <v>115</v>
      </c>
      <c r="E10" s="98">
        <v>18.510000000000002</v>
      </c>
      <c r="I10" s="115"/>
    </row>
    <row r="11" spans="1:9">
      <c r="A11" s="189">
        <v>45654</v>
      </c>
      <c r="B11" s="190">
        <v>839835673</v>
      </c>
      <c r="C11" s="193" t="s">
        <v>8</v>
      </c>
      <c r="D11" s="191" t="s">
        <v>115</v>
      </c>
      <c r="E11" s="98">
        <v>50</v>
      </c>
      <c r="I11" s="115"/>
    </row>
    <row r="12" spans="1:9">
      <c r="A12" s="189">
        <v>45729</v>
      </c>
      <c r="B12" s="190">
        <v>201104842</v>
      </c>
      <c r="C12" s="193" t="s">
        <v>389</v>
      </c>
      <c r="D12" s="191" t="s">
        <v>115</v>
      </c>
      <c r="E12" s="98">
        <v>5.0999999999999996</v>
      </c>
      <c r="H12" s="98"/>
      <c r="I12" s="115"/>
    </row>
    <row r="13" spans="1:9">
      <c r="A13" s="189">
        <v>45632</v>
      </c>
      <c r="B13" s="194">
        <v>683736496</v>
      </c>
      <c r="C13" s="193" t="s">
        <v>244</v>
      </c>
      <c r="D13" s="191" t="s">
        <v>115</v>
      </c>
      <c r="E13" s="98">
        <v>30</v>
      </c>
      <c r="I13" s="115"/>
    </row>
    <row r="14" spans="1:9">
      <c r="A14" s="60"/>
      <c r="I14" s="115"/>
    </row>
    <row r="15" spans="1:9">
      <c r="A15" s="60"/>
      <c r="E15" s="61">
        <f>SUM(E2:E14)</f>
        <v>953.25466666666671</v>
      </c>
      <c r="I15" s="115"/>
    </row>
    <row r="16" spans="1:9">
      <c r="F16" s="115"/>
      <c r="I16" s="115"/>
    </row>
    <row r="17" spans="1:9" ht="14.25" customHeight="1">
      <c r="A17" s="116"/>
      <c r="B17" s="193"/>
      <c r="C17" s="195"/>
      <c r="D17" s="115"/>
      <c r="E17" s="115"/>
      <c r="F17" s="115"/>
      <c r="I17" s="115"/>
    </row>
    <row r="18" spans="1:9" ht="14.25" customHeight="1">
      <c r="A18" s="116"/>
      <c r="B18" s="193"/>
      <c r="C18" s="195"/>
      <c r="D18" s="115"/>
      <c r="E18" s="115"/>
      <c r="F18" s="115"/>
      <c r="I18" s="115"/>
    </row>
    <row r="19" spans="1:9">
      <c r="A19" s="116"/>
      <c r="B19" s="193"/>
      <c r="C19" s="195"/>
      <c r="D19" s="115"/>
      <c r="E19" s="115"/>
      <c r="F19" s="115"/>
      <c r="I19" s="115"/>
    </row>
    <row r="20" spans="1:9">
      <c r="A20" s="116"/>
      <c r="B20" s="193"/>
      <c r="C20" s="195"/>
      <c r="D20" s="115"/>
      <c r="E20" s="115"/>
      <c r="F20" s="115"/>
      <c r="I20" s="115"/>
    </row>
    <row r="21" spans="1:9">
      <c r="A21" s="116"/>
      <c r="B21" s="193"/>
      <c r="C21" s="195"/>
      <c r="D21" s="115"/>
      <c r="E21" s="115"/>
      <c r="F21" s="115"/>
      <c r="I21" s="115"/>
    </row>
    <row r="22" spans="1:9">
      <c r="A22" s="196"/>
      <c r="B22" s="193"/>
      <c r="C22" s="195"/>
      <c r="D22" s="115"/>
      <c r="E22" s="197"/>
      <c r="F22" s="115"/>
      <c r="I22" s="115"/>
    </row>
    <row r="23" spans="1:9">
      <c r="A23" s="196"/>
      <c r="B23" s="193"/>
      <c r="C23" s="195"/>
      <c r="D23" s="115"/>
      <c r="E23" s="115"/>
      <c r="F23" s="115"/>
      <c r="I23" s="115"/>
    </row>
    <row r="24" spans="1:9">
      <c r="A24" s="196"/>
      <c r="B24" s="193"/>
      <c r="C24" s="195"/>
      <c r="D24" s="115"/>
      <c r="E24" s="115"/>
      <c r="F24" s="115"/>
      <c r="I24" s="115"/>
    </row>
    <row r="25" spans="1:9">
      <c r="A25" s="193"/>
      <c r="B25" s="193"/>
      <c r="C25" s="195"/>
      <c r="D25" s="115"/>
      <c r="E25" s="116"/>
      <c r="F25" s="115"/>
      <c r="I25" s="115"/>
    </row>
    <row r="26" spans="1:9">
      <c r="A26" s="196"/>
      <c r="B26" s="193"/>
      <c r="C26" s="195"/>
      <c r="D26" s="115"/>
      <c r="E26" s="116"/>
      <c r="F26" s="115"/>
      <c r="I26" s="115"/>
    </row>
    <row r="27" spans="1:9">
      <c r="A27" s="193"/>
      <c r="B27" s="193"/>
      <c r="C27" s="195"/>
      <c r="D27" s="115"/>
      <c r="E27" s="116"/>
      <c r="I27" s="115"/>
    </row>
    <row r="28" spans="1:9">
      <c r="I28" s="115"/>
    </row>
    <row r="29" spans="1:9">
      <c r="I29" s="115"/>
    </row>
    <row r="30" spans="1:9">
      <c r="I30" s="197"/>
    </row>
    <row r="31" spans="1:9">
      <c r="I31" s="234"/>
    </row>
    <row r="32" spans="1:9">
      <c r="I32" s="97"/>
    </row>
    <row r="33" spans="9:9">
      <c r="I33" s="97"/>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dimension ref="A1:E31"/>
  <sheetViews>
    <sheetView topLeftCell="A7" workbookViewId="0">
      <selection activeCell="C1" sqref="A1:C24"/>
    </sheetView>
  </sheetViews>
  <sheetFormatPr defaultRowHeight="15"/>
  <cols>
    <col min="1" max="1" width="38" bestFit="1" customWidth="1"/>
    <col min="2" max="2" width="9.85546875" bestFit="1" customWidth="1"/>
    <col min="3" max="3" width="46.7109375" bestFit="1" customWidth="1"/>
  </cols>
  <sheetData>
    <row r="1" spans="1:5">
      <c r="A1" s="62"/>
      <c r="B1" s="63" t="s">
        <v>94</v>
      </c>
      <c r="C1" s="64" t="s">
        <v>58</v>
      </c>
    </row>
    <row r="2" spans="1:5">
      <c r="A2" s="62"/>
      <c r="B2" s="65" t="s">
        <v>59</v>
      </c>
      <c r="C2" s="66"/>
    </row>
    <row r="3" spans="1:5">
      <c r="A3" s="67" t="s">
        <v>95</v>
      </c>
      <c r="B3" s="94">
        <v>600</v>
      </c>
      <c r="C3" s="66" t="s">
        <v>96</v>
      </c>
    </row>
    <row r="4" spans="1:5">
      <c r="A4" s="67" t="s">
        <v>97</v>
      </c>
      <c r="B4" s="94">
        <f>1327/10+1327</f>
        <v>1459.7</v>
      </c>
      <c r="C4" s="66" t="s">
        <v>98</v>
      </c>
      <c r="E4">
        <f>1459.7-40</f>
        <v>1419.7</v>
      </c>
    </row>
    <row r="5" spans="1:5">
      <c r="A5" s="69" t="s">
        <v>60</v>
      </c>
      <c r="B5" s="94">
        <v>180</v>
      </c>
      <c r="C5" s="66" t="s">
        <v>61</v>
      </c>
      <c r="E5">
        <f>E4/12</f>
        <v>118.30833333333334</v>
      </c>
    </row>
    <row r="6" spans="1:5">
      <c r="A6" s="69" t="s">
        <v>4</v>
      </c>
      <c r="B6" s="94">
        <v>400</v>
      </c>
      <c r="C6" s="66"/>
    </row>
    <row r="7" spans="1:5">
      <c r="A7" s="69" t="s">
        <v>6</v>
      </c>
      <c r="B7" s="94">
        <v>60</v>
      </c>
      <c r="C7" s="66" t="s">
        <v>99</v>
      </c>
    </row>
    <row r="8" spans="1:5" ht="30">
      <c r="A8" s="67" t="s">
        <v>62</v>
      </c>
      <c r="B8" s="94">
        <f>6*52*14.76+11*5.85</f>
        <v>4669.47</v>
      </c>
      <c r="C8" s="70" t="s">
        <v>100</v>
      </c>
      <c r="E8">
        <f>6*14.76</f>
        <v>88.56</v>
      </c>
    </row>
    <row r="9" spans="1:5">
      <c r="A9" s="67" t="s">
        <v>7</v>
      </c>
      <c r="B9" s="94">
        <v>500</v>
      </c>
      <c r="C9" s="66" t="s">
        <v>101</v>
      </c>
      <c r="E9">
        <f>E8*52</f>
        <v>4605.12</v>
      </c>
    </row>
    <row r="10" spans="1:5">
      <c r="A10" s="67" t="s">
        <v>102</v>
      </c>
      <c r="B10" s="95">
        <v>8720</v>
      </c>
      <c r="C10" s="66" t="s">
        <v>103</v>
      </c>
      <c r="E10">
        <f>E9/12</f>
        <v>383.76</v>
      </c>
    </row>
    <row r="11" spans="1:5">
      <c r="A11" s="67" t="s">
        <v>51</v>
      </c>
      <c r="B11" s="95">
        <v>60</v>
      </c>
      <c r="C11" s="66" t="s">
        <v>101</v>
      </c>
    </row>
    <row r="12" spans="1:5">
      <c r="A12" s="67" t="s">
        <v>104</v>
      </c>
      <c r="B12" s="95">
        <v>10</v>
      </c>
      <c r="C12" s="66"/>
    </row>
    <row r="13" spans="1:5" ht="45">
      <c r="A13" s="67" t="s">
        <v>9</v>
      </c>
      <c r="B13" s="94">
        <v>550</v>
      </c>
      <c r="C13" s="70" t="s">
        <v>105</v>
      </c>
    </row>
    <row r="14" spans="1:5">
      <c r="A14" s="62" t="s">
        <v>106</v>
      </c>
      <c r="B14" s="96">
        <v>3000</v>
      </c>
      <c r="C14" s="66" t="s">
        <v>107</v>
      </c>
    </row>
    <row r="15" spans="1:5" ht="60">
      <c r="A15" s="71" t="s">
        <v>108</v>
      </c>
      <c r="B15" s="96">
        <v>1600</v>
      </c>
      <c r="C15" s="66"/>
    </row>
    <row r="16" spans="1:5">
      <c r="A16" s="62" t="s">
        <v>109</v>
      </c>
      <c r="B16" s="96">
        <v>100</v>
      </c>
      <c r="C16" s="66" t="s">
        <v>110</v>
      </c>
    </row>
    <row r="17" spans="1:3">
      <c r="A17" s="62" t="s">
        <v>111</v>
      </c>
      <c r="B17" s="96">
        <v>125</v>
      </c>
      <c r="C17" s="66" t="s">
        <v>112</v>
      </c>
    </row>
    <row r="18" spans="1:3">
      <c r="A18" s="62" t="s">
        <v>10</v>
      </c>
      <c r="B18" s="96">
        <v>160</v>
      </c>
      <c r="C18" s="66" t="s">
        <v>113</v>
      </c>
    </row>
    <row r="19" spans="1:3">
      <c r="A19" s="62" t="s">
        <v>8</v>
      </c>
      <c r="B19" s="96">
        <v>480</v>
      </c>
      <c r="C19" s="66" t="s">
        <v>99</v>
      </c>
    </row>
    <row r="20" spans="1:3">
      <c r="A20" s="62" t="s">
        <v>114</v>
      </c>
      <c r="B20" s="96">
        <v>2000</v>
      </c>
      <c r="C20" s="66"/>
    </row>
    <row r="21" spans="1:3">
      <c r="A21" s="62" t="s">
        <v>63</v>
      </c>
      <c r="B21" s="96">
        <v>50</v>
      </c>
      <c r="C21" s="66"/>
    </row>
    <row r="22" spans="1:3">
      <c r="A22" s="62" t="s">
        <v>64</v>
      </c>
      <c r="B22" s="96">
        <v>1000</v>
      </c>
      <c r="C22" s="66"/>
    </row>
    <row r="23" spans="1:3">
      <c r="A23" s="62" t="s">
        <v>16</v>
      </c>
      <c r="B23" s="96">
        <f>SUM(B3:B22)</f>
        <v>25724.17</v>
      </c>
      <c r="C23" s="66"/>
    </row>
    <row r="24" spans="1:3">
      <c r="A24" s="69"/>
      <c r="B24" s="68"/>
      <c r="C24" s="66"/>
    </row>
    <row r="25" spans="1:3">
      <c r="A25" s="74" t="s">
        <v>65</v>
      </c>
      <c r="B25" s="73"/>
    </row>
    <row r="26" spans="1:3">
      <c r="A26" s="74" t="s">
        <v>66</v>
      </c>
      <c r="B26" s="73"/>
    </row>
    <row r="27" spans="1:3">
      <c r="A27" s="74" t="s">
        <v>67</v>
      </c>
      <c r="B27" s="73"/>
    </row>
    <row r="28" spans="1:3">
      <c r="A28" s="74" t="s">
        <v>68</v>
      </c>
      <c r="B28" s="73"/>
    </row>
    <row r="29" spans="1:3">
      <c r="A29" s="74" t="s">
        <v>69</v>
      </c>
      <c r="B29" s="73"/>
    </row>
    <row r="30" spans="1:3">
      <c r="A30" s="74" t="s">
        <v>5</v>
      </c>
      <c r="B30" s="73"/>
    </row>
    <row r="31" spans="1:3">
      <c r="A31" s="74" t="s">
        <v>70</v>
      </c>
      <c r="B31" s="7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C37"/>
  <sheetViews>
    <sheetView topLeftCell="A6" workbookViewId="0">
      <selection activeCell="A16" sqref="A16:XFD16"/>
    </sheetView>
  </sheetViews>
  <sheetFormatPr defaultRowHeight="15"/>
  <cols>
    <col min="1" max="1" width="59" bestFit="1" customWidth="1"/>
    <col min="2" max="2" width="11.5703125" bestFit="1" customWidth="1"/>
    <col min="3" max="3" width="10.140625" bestFit="1" customWidth="1"/>
  </cols>
  <sheetData>
    <row r="1" spans="1:3" ht="18.75">
      <c r="A1" s="278" t="s">
        <v>115</v>
      </c>
      <c r="B1" s="278"/>
      <c r="C1" s="278"/>
    </row>
    <row r="2" spans="1:3" ht="18.75">
      <c r="A2" s="278" t="s">
        <v>84</v>
      </c>
      <c r="B2" s="278"/>
      <c r="C2" s="278"/>
    </row>
    <row r="3" spans="1:3" ht="18.75">
      <c r="A3" s="278" t="s">
        <v>200</v>
      </c>
      <c r="B3" s="278"/>
      <c r="C3" s="278"/>
    </row>
    <row r="4" spans="1:3" ht="15.75">
      <c r="A4" s="75"/>
      <c r="B4" s="74"/>
      <c r="C4" s="74"/>
    </row>
    <row r="5" spans="1:3" ht="18.75">
      <c r="A5" s="76" t="s">
        <v>85</v>
      </c>
      <c r="B5" s="74"/>
      <c r="C5" s="74"/>
    </row>
    <row r="6" spans="1:3" ht="15.75">
      <c r="A6" s="75"/>
      <c r="B6" s="74"/>
      <c r="C6" s="74"/>
    </row>
    <row r="7" spans="1:3" ht="15.75">
      <c r="A7" s="77" t="s">
        <v>86</v>
      </c>
      <c r="B7" s="75"/>
      <c r="C7" s="75"/>
    </row>
    <row r="8" spans="1:3" ht="15.75">
      <c r="A8" s="75" t="s">
        <v>119</v>
      </c>
      <c r="B8" s="78">
        <v>11675</v>
      </c>
      <c r="C8" s="75"/>
    </row>
    <row r="9" spans="1:3" ht="15.75">
      <c r="A9" s="75" t="s">
        <v>166</v>
      </c>
      <c r="B9" s="78">
        <v>1567.57</v>
      </c>
      <c r="C9" s="75"/>
    </row>
    <row r="10" spans="1:3" ht="15.75">
      <c r="A10" s="75" t="s">
        <v>5</v>
      </c>
      <c r="B10" s="78">
        <v>16.66</v>
      </c>
      <c r="C10" s="75"/>
    </row>
    <row r="11" spans="1:3" ht="15.75">
      <c r="A11" s="79"/>
      <c r="B11" s="80">
        <f>SUM(B8:B10)</f>
        <v>13259.23</v>
      </c>
      <c r="C11" s="75"/>
    </row>
    <row r="12" spans="1:3" ht="15.75">
      <c r="A12" s="79"/>
      <c r="B12" s="81"/>
      <c r="C12" s="75"/>
    </row>
    <row r="13" spans="1:3" ht="15.75">
      <c r="A13" s="77" t="s">
        <v>87</v>
      </c>
      <c r="B13" s="75"/>
      <c r="C13" s="75"/>
    </row>
    <row r="14" spans="1:3" ht="15.75">
      <c r="A14" s="75" t="s">
        <v>88</v>
      </c>
      <c r="B14" s="155">
        <v>18</v>
      </c>
      <c r="C14" s="75"/>
    </row>
    <row r="15" spans="1:3" ht="15.75">
      <c r="A15" s="75" t="s">
        <v>117</v>
      </c>
      <c r="B15" s="155">
        <v>136.5</v>
      </c>
      <c r="C15" s="75"/>
    </row>
    <row r="16" spans="1:3" ht="15.75">
      <c r="A16" s="75" t="s">
        <v>89</v>
      </c>
      <c r="B16" s="155">
        <f>404.43-18</f>
        <v>386.43</v>
      </c>
      <c r="C16" s="75"/>
    </row>
    <row r="17" spans="1:3" ht="15.75">
      <c r="A17" s="82" t="s">
        <v>7</v>
      </c>
      <c r="B17" s="113">
        <v>625.55999999999995</v>
      </c>
      <c r="C17" s="75"/>
    </row>
    <row r="18" spans="1:3" ht="15.75">
      <c r="A18" s="82" t="s">
        <v>4</v>
      </c>
      <c r="B18" s="113">
        <v>37.4</v>
      </c>
      <c r="C18" s="75"/>
    </row>
    <row r="19" spans="1:3" ht="15.75">
      <c r="A19" s="82"/>
      <c r="B19" s="151">
        <f>SUM(B14:B18)</f>
        <v>1203.8900000000001</v>
      </c>
      <c r="C19" s="84"/>
    </row>
    <row r="20" spans="1:3">
      <c r="A20" s="84"/>
      <c r="B20" s="85"/>
      <c r="C20" s="84"/>
    </row>
    <row r="21" spans="1:3" ht="15.75">
      <c r="A21" s="77" t="s">
        <v>90</v>
      </c>
      <c r="B21" s="75"/>
      <c r="C21" s="75"/>
    </row>
    <row r="22" spans="1:3" ht="15.75">
      <c r="A22" s="75" t="s">
        <v>201</v>
      </c>
      <c r="B22" s="86">
        <v>15319.64</v>
      </c>
      <c r="C22" s="81"/>
    </row>
    <row r="23" spans="1:3" ht="15.75">
      <c r="A23" s="75" t="s">
        <v>202</v>
      </c>
      <c r="B23" s="86">
        <f>B11-B19</f>
        <v>12055.34</v>
      </c>
      <c r="C23" s="75"/>
    </row>
    <row r="24" spans="1:3" ht="16.5" thickBot="1">
      <c r="A24" s="77" t="s">
        <v>16</v>
      </c>
      <c r="B24" s="74"/>
      <c r="C24" s="87">
        <f>SUM(B22:B23)</f>
        <v>27374.98</v>
      </c>
    </row>
    <row r="25" spans="1:3" ht="16.5" thickTop="1">
      <c r="A25" s="77"/>
      <c r="B25" s="75"/>
      <c r="C25" s="75"/>
    </row>
    <row r="26" spans="1:3" ht="15.75">
      <c r="A26" s="77" t="s">
        <v>91</v>
      </c>
      <c r="B26" s="75"/>
      <c r="C26" s="75"/>
    </row>
    <row r="27" spans="1:3" ht="15.75">
      <c r="A27" s="77"/>
      <c r="B27" s="75"/>
      <c r="C27" s="75"/>
    </row>
    <row r="28" spans="1:3" ht="15.75">
      <c r="A28" s="75" t="s">
        <v>92</v>
      </c>
      <c r="B28" s="88">
        <f>23652.81+3722.17</f>
        <v>27374.980000000003</v>
      </c>
      <c r="C28" s="75"/>
    </row>
    <row r="29" spans="1:3" ht="15.75">
      <c r="A29" s="75"/>
      <c r="B29" s="89"/>
      <c r="C29" s="75"/>
    </row>
    <row r="30" spans="1:3" ht="16.5" thickBot="1">
      <c r="A30" s="90"/>
      <c r="B30" s="90"/>
      <c r="C30" s="91">
        <f>SUM(B28:B29)</f>
        <v>27374.980000000003</v>
      </c>
    </row>
    <row r="31" spans="1:3" ht="15.75">
      <c r="A31" s="75"/>
      <c r="B31" s="75"/>
      <c r="C31" s="75"/>
    </row>
    <row r="32" spans="1:3" ht="15.75">
      <c r="A32" s="77" t="s">
        <v>93</v>
      </c>
      <c r="B32" s="75"/>
      <c r="C32" s="75"/>
    </row>
    <row r="33" spans="1:3" ht="15.75">
      <c r="A33" s="82"/>
      <c r="B33" s="149"/>
      <c r="C33" s="75"/>
    </row>
    <row r="34" spans="1:3" ht="15.75">
      <c r="A34" s="82"/>
      <c r="B34" s="149"/>
      <c r="C34" s="75"/>
    </row>
    <row r="35" spans="1:3" ht="15.75">
      <c r="A35" s="82"/>
      <c r="B35" s="83"/>
      <c r="C35" s="78"/>
    </row>
    <row r="36" spans="1:3" ht="16.5" thickBot="1">
      <c r="A36" s="82"/>
      <c r="B36" s="83"/>
      <c r="C36" s="92">
        <f>C30-SUM(B33:B39)</f>
        <v>27374.980000000003</v>
      </c>
    </row>
    <row r="37" spans="1:3" ht="16.5" thickTop="1">
      <c r="A37" s="82"/>
      <c r="B37" s="83"/>
    </row>
  </sheetData>
  <mergeCells count="3">
    <mergeCell ref="A1:C1"/>
    <mergeCell ref="A2:C2"/>
    <mergeCell ref="A3:C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Q76"/>
  <sheetViews>
    <sheetView topLeftCell="A40" workbookViewId="0">
      <selection sqref="A1:C43"/>
    </sheetView>
  </sheetViews>
  <sheetFormatPr defaultRowHeight="15"/>
  <cols>
    <col min="1" max="1" width="49.42578125" bestFit="1" customWidth="1"/>
    <col min="2" max="2" width="12.85546875" bestFit="1" customWidth="1"/>
    <col min="3" max="3" width="12.7109375" bestFit="1" customWidth="1"/>
    <col min="5" max="5" width="11.5703125" bestFit="1" customWidth="1"/>
    <col min="8" max="8" width="11.5703125" bestFit="1" customWidth="1"/>
    <col min="10" max="10" width="11.5703125" bestFit="1" customWidth="1"/>
  </cols>
  <sheetData>
    <row r="1" spans="1:17" ht="18.75">
      <c r="A1" s="278" t="s">
        <v>115</v>
      </c>
      <c r="B1" s="278"/>
      <c r="C1" s="278"/>
      <c r="E1" s="119"/>
      <c r="F1" s="119"/>
      <c r="G1" s="119"/>
      <c r="H1" s="119"/>
      <c r="I1" s="119"/>
      <c r="J1" s="119"/>
      <c r="K1" s="119"/>
      <c r="L1" s="119"/>
      <c r="M1" s="119"/>
      <c r="N1" s="119"/>
      <c r="O1" s="119"/>
      <c r="P1" s="119"/>
      <c r="Q1" s="119"/>
    </row>
    <row r="2" spans="1:17" ht="18.75">
      <c r="A2" s="278" t="s">
        <v>84</v>
      </c>
      <c r="B2" s="278"/>
      <c r="C2" s="278"/>
      <c r="E2" s="119"/>
      <c r="F2" s="119"/>
      <c r="G2" s="119"/>
      <c r="H2" s="119"/>
      <c r="I2" s="119"/>
      <c r="J2" s="119"/>
      <c r="K2" s="119"/>
      <c r="L2" s="119"/>
      <c r="M2" s="119"/>
      <c r="N2" s="119"/>
      <c r="O2" s="119"/>
      <c r="P2" s="119"/>
      <c r="Q2" s="119"/>
    </row>
    <row r="3" spans="1:17" ht="18.75">
      <c r="A3" s="278" t="s">
        <v>255</v>
      </c>
      <c r="B3" s="278"/>
      <c r="C3" s="278"/>
      <c r="E3" s="119"/>
      <c r="F3" s="119"/>
      <c r="G3" s="119"/>
      <c r="H3" s="119"/>
      <c r="I3" s="119"/>
      <c r="J3" s="119"/>
      <c r="K3" s="119"/>
      <c r="L3" s="119"/>
      <c r="M3" s="119"/>
      <c r="N3" s="119"/>
      <c r="O3" s="119"/>
      <c r="P3" s="119"/>
      <c r="Q3" s="119"/>
    </row>
    <row r="4" spans="1:17" ht="15.75">
      <c r="A4" s="75"/>
      <c r="B4" s="74"/>
      <c r="C4" s="74"/>
      <c r="E4" s="119"/>
      <c r="F4" s="119"/>
      <c r="G4" s="119"/>
      <c r="H4" s="119"/>
      <c r="I4" s="119"/>
      <c r="J4" s="119"/>
      <c r="K4" s="119"/>
      <c r="L4" s="119"/>
      <c r="M4" s="119"/>
      <c r="N4" s="119"/>
      <c r="O4" s="119"/>
      <c r="P4" s="119"/>
      <c r="Q4" s="119"/>
    </row>
    <row r="5" spans="1:17" ht="18.75">
      <c r="A5" s="76" t="s">
        <v>85</v>
      </c>
      <c r="B5" s="74"/>
      <c r="C5" s="74"/>
      <c r="E5" s="119"/>
      <c r="F5" s="119"/>
      <c r="G5" s="119"/>
      <c r="H5" s="119"/>
      <c r="I5" s="119"/>
      <c r="J5" s="119"/>
      <c r="K5" s="119"/>
      <c r="L5" s="119"/>
      <c r="M5" s="119"/>
      <c r="N5" s="119"/>
      <c r="O5" s="119"/>
      <c r="P5" s="119"/>
      <c r="Q5" s="119"/>
    </row>
    <row r="6" spans="1:17" ht="15.75">
      <c r="A6" s="75"/>
      <c r="B6" s="74"/>
      <c r="C6" s="74"/>
      <c r="E6" s="119"/>
      <c r="F6" s="119"/>
      <c r="G6" s="119"/>
      <c r="H6" s="119"/>
      <c r="I6" s="119"/>
      <c r="J6" s="119"/>
      <c r="K6" s="119"/>
      <c r="L6" s="119"/>
      <c r="M6" s="119"/>
      <c r="N6" s="119"/>
      <c r="O6" s="119"/>
      <c r="P6" s="119"/>
      <c r="Q6" s="119"/>
    </row>
    <row r="7" spans="1:17" ht="15.75">
      <c r="A7" s="77" t="s">
        <v>86</v>
      </c>
      <c r="B7" s="75"/>
      <c r="C7" s="75"/>
      <c r="E7" s="119"/>
      <c r="F7" s="119"/>
      <c r="G7" s="119"/>
      <c r="H7" s="119"/>
      <c r="I7" s="119"/>
      <c r="J7" s="119"/>
      <c r="K7" s="119"/>
      <c r="L7" s="119"/>
      <c r="M7" s="119"/>
      <c r="N7" s="119"/>
      <c r="O7" s="119"/>
      <c r="P7" s="119"/>
      <c r="Q7" s="119"/>
    </row>
    <row r="8" spans="1:17" ht="15.75">
      <c r="A8" s="75" t="s">
        <v>119</v>
      </c>
      <c r="B8" s="150">
        <v>12553</v>
      </c>
      <c r="C8" s="150"/>
      <c r="E8" s="152"/>
      <c r="F8" s="119"/>
      <c r="G8" s="119"/>
      <c r="H8" s="119"/>
      <c r="I8" s="119"/>
      <c r="J8" s="119"/>
      <c r="K8" s="119"/>
      <c r="L8" s="119"/>
      <c r="M8" s="119"/>
      <c r="N8" s="119"/>
      <c r="O8" s="119"/>
      <c r="P8" s="119"/>
      <c r="Q8" s="119"/>
    </row>
    <row r="9" spans="1:17" ht="15.75">
      <c r="A9" s="75" t="s">
        <v>136</v>
      </c>
      <c r="B9" s="150"/>
      <c r="C9" s="150"/>
      <c r="E9" s="152"/>
      <c r="F9" s="119"/>
      <c r="G9" s="119"/>
      <c r="H9" s="119"/>
      <c r="I9" s="119"/>
      <c r="J9" s="119"/>
      <c r="K9" s="119"/>
      <c r="L9" s="119"/>
      <c r="M9" s="119"/>
      <c r="N9" s="119"/>
      <c r="O9" s="119"/>
      <c r="P9" s="119"/>
      <c r="Q9" s="119"/>
    </row>
    <row r="10" spans="1:17" ht="15.75">
      <c r="A10" s="75" t="s">
        <v>166</v>
      </c>
      <c r="B10" s="150">
        <v>2578.04</v>
      </c>
      <c r="C10" s="150"/>
      <c r="E10" s="119"/>
      <c r="F10" s="119"/>
      <c r="G10" s="119"/>
      <c r="H10" s="119"/>
      <c r="I10" s="119"/>
      <c r="J10" s="119"/>
      <c r="K10" s="119"/>
      <c r="L10" s="119"/>
      <c r="M10" s="119"/>
      <c r="N10" s="119"/>
      <c r="O10" s="119"/>
      <c r="P10" s="119"/>
      <c r="Q10" s="119"/>
    </row>
    <row r="11" spans="1:17" ht="15.75">
      <c r="A11" s="75" t="s">
        <v>5</v>
      </c>
      <c r="B11" s="150">
        <v>0.21</v>
      </c>
      <c r="C11" s="150"/>
      <c r="E11" s="119"/>
      <c r="F11" s="119"/>
      <c r="G11" s="119"/>
      <c r="H11" s="119"/>
      <c r="I11" s="119"/>
      <c r="J11" s="119"/>
      <c r="K11" s="119"/>
      <c r="L11" s="119"/>
      <c r="M11" s="119"/>
      <c r="N11" s="119"/>
      <c r="O11" s="119"/>
      <c r="P11" s="119"/>
      <c r="Q11" s="119"/>
    </row>
    <row r="12" spans="1:17" ht="15.75">
      <c r="A12" s="79"/>
      <c r="B12" s="161">
        <f>SUM(B8:B11)</f>
        <v>15131.25</v>
      </c>
      <c r="C12" s="150"/>
      <c r="E12" s="119"/>
      <c r="F12" s="119"/>
      <c r="G12" s="119"/>
      <c r="H12" s="119"/>
      <c r="I12" s="119"/>
      <c r="J12" s="119"/>
      <c r="K12" s="119"/>
      <c r="L12" s="119"/>
      <c r="M12" s="119"/>
      <c r="N12" s="119"/>
      <c r="O12" s="119"/>
      <c r="P12" s="119"/>
      <c r="Q12" s="119"/>
    </row>
    <row r="13" spans="1:17" ht="15.75">
      <c r="A13" s="79"/>
      <c r="B13" s="162"/>
      <c r="C13" s="150"/>
      <c r="E13" s="119"/>
      <c r="F13" s="119"/>
      <c r="G13" s="119"/>
      <c r="H13" s="119"/>
      <c r="I13" s="119"/>
      <c r="J13" s="119"/>
      <c r="K13" s="119"/>
      <c r="L13" s="119"/>
      <c r="M13" s="119"/>
      <c r="N13" s="119"/>
      <c r="O13" s="119"/>
      <c r="P13" s="119"/>
      <c r="Q13" s="119"/>
    </row>
    <row r="14" spans="1:17" ht="15.75">
      <c r="A14" s="77" t="s">
        <v>87</v>
      </c>
      <c r="B14" s="150"/>
      <c r="C14" s="150"/>
      <c r="E14" s="119"/>
      <c r="F14" s="119"/>
      <c r="G14" s="119"/>
      <c r="H14" s="119"/>
      <c r="I14" s="119"/>
      <c r="J14" s="119"/>
      <c r="K14" s="119"/>
      <c r="L14" s="119"/>
      <c r="M14" s="119"/>
      <c r="N14" s="119"/>
      <c r="O14" s="119"/>
      <c r="P14" s="119"/>
      <c r="Q14" s="119"/>
    </row>
    <row r="15" spans="1:17" ht="15.75">
      <c r="A15" s="75" t="s">
        <v>88</v>
      </c>
      <c r="B15" s="155">
        <v>30</v>
      </c>
      <c r="C15" s="150"/>
      <c r="E15" s="119"/>
      <c r="F15" s="119"/>
      <c r="G15" s="119"/>
      <c r="H15" s="119"/>
      <c r="I15" s="119"/>
      <c r="J15" s="119"/>
      <c r="K15" s="119"/>
      <c r="L15" s="119"/>
      <c r="M15" s="119"/>
      <c r="N15" s="119"/>
      <c r="O15" s="119"/>
      <c r="P15" s="119"/>
      <c r="Q15" s="119"/>
    </row>
    <row r="16" spans="1:17" ht="15.75">
      <c r="A16" s="75" t="s">
        <v>117</v>
      </c>
      <c r="B16" s="155">
        <f>148.72*2</f>
        <v>297.44</v>
      </c>
      <c r="C16" s="150"/>
      <c r="E16" s="119"/>
      <c r="F16" s="119"/>
      <c r="G16" s="119"/>
      <c r="H16" s="119"/>
      <c r="I16" s="119"/>
      <c r="J16" s="119"/>
      <c r="K16" s="119"/>
      <c r="L16" s="119"/>
      <c r="M16" s="119"/>
      <c r="N16" s="119"/>
      <c r="O16" s="119"/>
      <c r="P16" s="119"/>
      <c r="Q16" s="119"/>
    </row>
    <row r="17" spans="1:17" ht="15.75">
      <c r="A17" s="75" t="s">
        <v>89</v>
      </c>
      <c r="B17" s="155">
        <f>295.68+310.88</f>
        <v>606.55999999999995</v>
      </c>
      <c r="C17" s="150"/>
      <c r="E17" s="119"/>
      <c r="F17" s="119"/>
      <c r="G17" s="119"/>
      <c r="H17" s="119"/>
      <c r="I17" s="119"/>
      <c r="J17" s="119"/>
      <c r="K17" s="119"/>
      <c r="L17" s="119"/>
      <c r="M17" s="119"/>
      <c r="N17" s="119"/>
      <c r="O17" s="119"/>
      <c r="P17" s="119"/>
      <c r="Q17" s="119"/>
    </row>
    <row r="18" spans="1:17" ht="15.75">
      <c r="A18" s="75" t="s">
        <v>256</v>
      </c>
      <c r="B18" s="155">
        <v>28.78</v>
      </c>
      <c r="C18" s="150"/>
      <c r="E18" s="119"/>
      <c r="F18" s="119"/>
      <c r="G18" s="119"/>
      <c r="H18" s="119"/>
      <c r="I18" s="119"/>
      <c r="J18" s="119"/>
      <c r="K18" s="119"/>
      <c r="L18" s="119"/>
      <c r="M18" s="119"/>
      <c r="N18" s="119"/>
      <c r="O18" s="119"/>
      <c r="P18" s="119"/>
      <c r="Q18" s="119"/>
    </row>
    <row r="19" spans="1:17" ht="15.75">
      <c r="A19" s="75" t="s">
        <v>257</v>
      </c>
      <c r="B19" s="155">
        <v>639.86</v>
      </c>
      <c r="C19" s="150"/>
      <c r="E19" s="119"/>
      <c r="F19" s="119"/>
      <c r="G19" s="119"/>
      <c r="H19" s="119"/>
      <c r="I19" s="119"/>
      <c r="J19" s="119"/>
      <c r="K19" s="119"/>
      <c r="L19" s="119"/>
      <c r="M19" s="119"/>
      <c r="N19" s="119"/>
      <c r="O19" s="119"/>
      <c r="P19" s="119"/>
      <c r="Q19" s="119"/>
    </row>
    <row r="20" spans="1:17" ht="15.75">
      <c r="A20" s="75" t="s">
        <v>196</v>
      </c>
      <c r="B20" s="155">
        <v>1144.08</v>
      </c>
      <c r="C20" s="150"/>
      <c r="E20" s="119"/>
      <c r="F20" s="119"/>
      <c r="G20" s="119"/>
      <c r="H20" s="119"/>
      <c r="I20" s="119"/>
      <c r="J20" s="119"/>
      <c r="K20" s="119"/>
      <c r="L20" s="119"/>
      <c r="M20" s="119"/>
      <c r="N20" s="119"/>
      <c r="O20" s="119"/>
      <c r="P20" s="119"/>
      <c r="Q20" s="119"/>
    </row>
    <row r="21" spans="1:17" ht="15.75">
      <c r="A21" s="75" t="s">
        <v>6</v>
      </c>
      <c r="B21" s="155">
        <v>60</v>
      </c>
      <c r="C21" s="150"/>
      <c r="E21" s="119"/>
      <c r="F21" s="119"/>
      <c r="G21" s="119"/>
      <c r="H21" s="119"/>
      <c r="I21" s="119"/>
      <c r="J21" s="119"/>
      <c r="K21" s="119"/>
      <c r="L21" s="119"/>
      <c r="M21" s="119"/>
      <c r="N21" s="119"/>
      <c r="O21" s="119"/>
      <c r="P21" s="119"/>
      <c r="Q21" s="119"/>
    </row>
    <row r="22" spans="1:17" ht="15.75">
      <c r="A22" s="75" t="s">
        <v>122</v>
      </c>
      <c r="B22" s="155">
        <v>4345.2</v>
      </c>
      <c r="C22" s="150"/>
      <c r="E22" s="119"/>
      <c r="F22" s="119"/>
      <c r="G22" s="119"/>
      <c r="H22" s="119"/>
      <c r="I22" s="119"/>
      <c r="J22" s="119"/>
      <c r="K22" s="119"/>
      <c r="L22" s="119"/>
      <c r="M22" s="119"/>
      <c r="N22" s="119"/>
      <c r="O22" s="119"/>
      <c r="P22" s="119"/>
      <c r="Q22" s="119"/>
    </row>
    <row r="23" spans="1:17" ht="15.75">
      <c r="A23" s="82" t="s">
        <v>7</v>
      </c>
      <c r="B23" s="156">
        <v>545.57000000000005</v>
      </c>
      <c r="C23" s="150"/>
      <c r="E23" s="119"/>
      <c r="F23" s="119"/>
      <c r="G23" s="119"/>
      <c r="H23" s="119"/>
      <c r="I23" s="119"/>
      <c r="J23" s="119"/>
      <c r="K23" s="119"/>
      <c r="L23" s="119"/>
      <c r="M23" s="119"/>
      <c r="N23" s="119"/>
      <c r="O23" s="119"/>
      <c r="P23" s="119"/>
      <c r="Q23" s="119"/>
    </row>
    <row r="24" spans="1:17" ht="15.75">
      <c r="A24" s="82" t="s">
        <v>4</v>
      </c>
      <c r="B24" s="156">
        <f>74+73.8</f>
        <v>147.80000000000001</v>
      </c>
      <c r="C24" s="150"/>
      <c r="E24" s="119"/>
      <c r="F24" s="119"/>
      <c r="G24" s="119"/>
      <c r="H24" s="119"/>
      <c r="I24" s="119"/>
      <c r="J24" s="119"/>
      <c r="K24" s="119"/>
      <c r="L24" s="119"/>
      <c r="M24" s="119"/>
      <c r="N24" s="119"/>
      <c r="O24" s="119"/>
      <c r="P24" s="119"/>
      <c r="Q24" s="119"/>
    </row>
    <row r="25" spans="1:17" ht="15.75">
      <c r="A25" s="82"/>
      <c r="B25" s="151">
        <f>SUM(B15:B24)</f>
        <v>7845.29</v>
      </c>
      <c r="C25" s="163"/>
      <c r="E25" s="119"/>
      <c r="F25" s="119"/>
      <c r="G25" s="119"/>
      <c r="H25" s="119"/>
      <c r="I25" s="119"/>
      <c r="J25" s="119"/>
      <c r="K25" s="119"/>
      <c r="L25" s="119"/>
      <c r="M25" s="119"/>
      <c r="N25" s="119"/>
      <c r="O25" s="119"/>
      <c r="P25" s="119"/>
      <c r="Q25" s="119"/>
    </row>
    <row r="26" spans="1:17">
      <c r="A26" s="84"/>
      <c r="B26" s="163"/>
      <c r="C26" s="163"/>
      <c r="E26" s="119"/>
      <c r="F26" s="119"/>
      <c r="G26" s="119"/>
      <c r="H26" s="119"/>
      <c r="I26" s="119"/>
      <c r="J26" s="119"/>
      <c r="K26" s="119"/>
      <c r="L26" s="119"/>
      <c r="M26" s="119"/>
      <c r="N26" s="119"/>
      <c r="O26" s="119"/>
      <c r="P26" s="119"/>
      <c r="Q26" s="119"/>
    </row>
    <row r="27" spans="1:17" ht="15.75">
      <c r="A27" s="77" t="s">
        <v>90</v>
      </c>
      <c r="B27" s="150"/>
      <c r="C27" s="150"/>
      <c r="E27" s="119"/>
      <c r="F27" s="119"/>
      <c r="G27" s="119"/>
      <c r="H27" s="119"/>
      <c r="I27" s="119"/>
      <c r="J27" s="119"/>
      <c r="K27" s="119"/>
      <c r="L27" s="119"/>
      <c r="M27" s="119"/>
      <c r="N27" s="119"/>
      <c r="O27" s="119"/>
      <c r="P27" s="119"/>
      <c r="Q27" s="119"/>
    </row>
    <row r="28" spans="1:17" ht="15.75">
      <c r="A28" s="75" t="s">
        <v>258</v>
      </c>
      <c r="B28" s="150">
        <v>23552.92</v>
      </c>
      <c r="C28" s="162"/>
      <c r="E28" s="119"/>
      <c r="F28" s="119"/>
      <c r="G28" s="119"/>
      <c r="H28" s="119"/>
      <c r="I28" s="119"/>
      <c r="J28" s="119"/>
      <c r="K28" s="119"/>
      <c r="L28" s="119"/>
      <c r="M28" s="119"/>
      <c r="N28" s="119"/>
      <c r="O28" s="119"/>
      <c r="P28" s="119"/>
      <c r="Q28" s="119"/>
    </row>
    <row r="29" spans="1:17" ht="15.75">
      <c r="A29" s="75" t="s">
        <v>259</v>
      </c>
      <c r="B29" s="150">
        <f>B12-B25</f>
        <v>7285.96</v>
      </c>
      <c r="C29" s="150"/>
      <c r="E29" s="119"/>
      <c r="F29" s="119"/>
      <c r="G29" s="119"/>
      <c r="H29" s="119"/>
      <c r="I29" s="119"/>
      <c r="J29" s="119"/>
      <c r="K29" s="119"/>
      <c r="L29" s="119"/>
      <c r="M29" s="119"/>
      <c r="N29" s="119"/>
      <c r="O29" s="119"/>
      <c r="P29" s="119"/>
      <c r="Q29" s="119"/>
    </row>
    <row r="30" spans="1:17" ht="16.5" thickBot="1">
      <c r="A30" s="77" t="s">
        <v>16</v>
      </c>
      <c r="B30" s="164"/>
      <c r="C30" s="165">
        <f>SUM(B28:B29)</f>
        <v>30838.879999999997</v>
      </c>
      <c r="E30" s="119"/>
      <c r="F30" s="119"/>
      <c r="G30" s="119"/>
      <c r="H30" s="119"/>
      <c r="I30" s="119"/>
      <c r="J30" s="119"/>
      <c r="K30" s="119"/>
      <c r="L30" s="119"/>
      <c r="M30" s="119"/>
      <c r="N30" s="119"/>
      <c r="O30" s="119"/>
      <c r="P30" s="119"/>
      <c r="Q30" s="119"/>
    </row>
    <row r="31" spans="1:17" ht="16.5" thickTop="1">
      <c r="A31" s="77"/>
      <c r="B31" s="150"/>
      <c r="C31" s="150"/>
      <c r="E31" s="119"/>
      <c r="F31" s="119"/>
      <c r="G31" s="119"/>
      <c r="H31" s="119"/>
      <c r="I31" s="119"/>
      <c r="J31" s="119"/>
      <c r="K31" s="119"/>
      <c r="L31" s="119"/>
      <c r="M31" s="119"/>
      <c r="N31" s="119"/>
      <c r="O31" s="119"/>
      <c r="P31" s="119"/>
      <c r="Q31" s="119"/>
    </row>
    <row r="32" spans="1:17" ht="15.75">
      <c r="A32" s="77" t="s">
        <v>91</v>
      </c>
      <c r="B32" s="150"/>
      <c r="C32" s="150"/>
      <c r="E32" s="119"/>
      <c r="F32" s="119"/>
      <c r="G32" s="119"/>
      <c r="H32" s="119"/>
      <c r="I32" s="119"/>
      <c r="J32" s="119"/>
      <c r="K32" s="119"/>
      <c r="L32" s="119"/>
      <c r="M32" s="119"/>
      <c r="N32" s="119"/>
      <c r="O32" s="119"/>
      <c r="P32" s="119"/>
      <c r="Q32" s="119"/>
    </row>
    <row r="33" spans="1:17" ht="15.75">
      <c r="A33" s="77"/>
      <c r="B33" s="150"/>
      <c r="C33" s="150"/>
      <c r="E33" s="119"/>
      <c r="F33" s="119"/>
      <c r="G33" s="119"/>
      <c r="H33" s="153"/>
      <c r="I33" s="119"/>
      <c r="J33" s="153"/>
      <c r="K33" s="119"/>
      <c r="L33" s="119"/>
      <c r="M33" s="119"/>
      <c r="N33" s="119"/>
      <c r="O33" s="119"/>
      <c r="P33" s="119"/>
      <c r="Q33" s="119"/>
    </row>
    <row r="34" spans="1:17" ht="15.75">
      <c r="A34" s="75" t="s">
        <v>92</v>
      </c>
      <c r="B34" s="166">
        <f>30812.82+26.06</f>
        <v>30838.880000000001</v>
      </c>
      <c r="C34" s="150"/>
      <c r="E34" s="119"/>
      <c r="F34" s="119"/>
      <c r="G34" s="119"/>
      <c r="H34" s="119"/>
      <c r="I34" s="119"/>
      <c r="J34" s="119"/>
      <c r="K34" s="119"/>
      <c r="L34" s="119"/>
      <c r="M34" s="119"/>
      <c r="N34" s="119"/>
      <c r="O34" s="119"/>
      <c r="P34" s="119"/>
      <c r="Q34" s="119"/>
    </row>
    <row r="35" spans="1:17" ht="15.75">
      <c r="A35" s="75"/>
      <c r="B35" s="162"/>
      <c r="C35" s="150"/>
      <c r="E35" s="119"/>
      <c r="F35" s="119"/>
      <c r="G35" s="119"/>
      <c r="H35" s="119"/>
      <c r="I35" s="119"/>
      <c r="J35" s="119"/>
      <c r="K35" s="119"/>
      <c r="L35" s="119"/>
      <c r="M35" s="119"/>
      <c r="N35" s="119"/>
      <c r="O35" s="119"/>
      <c r="P35" s="119"/>
      <c r="Q35" s="119"/>
    </row>
    <row r="36" spans="1:17" ht="16.5" thickBot="1">
      <c r="A36" s="90"/>
      <c r="B36" s="167"/>
      <c r="C36" s="168">
        <f>SUM(B34:B35)</f>
        <v>30838.880000000001</v>
      </c>
      <c r="E36" s="153"/>
      <c r="F36" s="119"/>
      <c r="G36" s="119"/>
      <c r="H36" s="119"/>
      <c r="I36" s="119"/>
      <c r="J36" s="119"/>
      <c r="K36" s="119"/>
      <c r="L36" s="119"/>
      <c r="M36" s="119"/>
      <c r="N36" s="119"/>
      <c r="O36" s="119"/>
      <c r="P36" s="119"/>
      <c r="Q36" s="119"/>
    </row>
    <row r="37" spans="1:17" ht="15.75">
      <c r="A37" s="75"/>
      <c r="B37" s="150"/>
      <c r="C37" s="150"/>
      <c r="E37" s="119"/>
      <c r="F37" s="119"/>
      <c r="G37" s="119"/>
      <c r="H37" s="119"/>
      <c r="I37" s="119"/>
      <c r="J37" s="119"/>
      <c r="K37" s="119"/>
      <c r="L37" s="119"/>
      <c r="M37" s="119"/>
      <c r="N37" s="119"/>
      <c r="O37" s="119"/>
      <c r="P37" s="119"/>
      <c r="Q37" s="119"/>
    </row>
    <row r="38" spans="1:17" ht="15.75">
      <c r="A38" s="77" t="s">
        <v>93</v>
      </c>
      <c r="B38" s="150"/>
      <c r="C38" s="150"/>
      <c r="E38" s="119"/>
      <c r="F38" s="119"/>
      <c r="G38" s="119"/>
      <c r="H38" s="119"/>
      <c r="I38" s="119"/>
      <c r="J38" s="119"/>
      <c r="K38" s="119"/>
      <c r="L38" s="119"/>
      <c r="M38" s="119"/>
      <c r="N38" s="119"/>
      <c r="O38" s="119"/>
      <c r="P38" s="119"/>
      <c r="Q38" s="119"/>
    </row>
    <row r="39" spans="1:17" ht="15.75">
      <c r="A39" s="82"/>
      <c r="B39" s="169"/>
      <c r="C39" s="150"/>
      <c r="E39" s="152"/>
      <c r="F39" s="119"/>
      <c r="G39" s="152"/>
      <c r="H39" s="119"/>
      <c r="I39" s="119"/>
      <c r="J39" s="119"/>
      <c r="K39" s="119"/>
      <c r="L39" s="119"/>
      <c r="M39" s="119"/>
      <c r="N39" s="119"/>
      <c r="O39" s="119"/>
      <c r="P39" s="119"/>
      <c r="Q39" s="119"/>
    </row>
    <row r="40" spans="1:17" ht="15.75">
      <c r="A40" s="82"/>
      <c r="B40" s="169"/>
      <c r="C40" s="150"/>
      <c r="E40" s="154"/>
      <c r="F40" s="119"/>
      <c r="G40" s="119"/>
      <c r="H40" s="119"/>
      <c r="I40" s="119"/>
      <c r="J40" s="119"/>
      <c r="K40" s="119"/>
      <c r="L40" s="119"/>
      <c r="M40" s="119"/>
      <c r="N40" s="119"/>
      <c r="O40" s="119"/>
      <c r="P40" s="119"/>
      <c r="Q40" s="119"/>
    </row>
    <row r="41" spans="1:17" ht="15.75">
      <c r="A41" s="82"/>
      <c r="B41" s="169"/>
      <c r="C41" s="150"/>
      <c r="E41" s="119"/>
      <c r="F41" s="119"/>
      <c r="G41" s="119"/>
      <c r="H41" s="119"/>
      <c r="I41" s="119"/>
      <c r="J41" s="119"/>
      <c r="K41" s="119"/>
      <c r="L41" s="119"/>
      <c r="M41" s="119"/>
      <c r="N41" s="119"/>
      <c r="O41" s="119"/>
      <c r="P41" s="119"/>
      <c r="Q41" s="119"/>
    </row>
    <row r="42" spans="1:17" ht="16.5" thickBot="1">
      <c r="A42" s="82"/>
      <c r="B42" s="169"/>
      <c r="C42" s="165">
        <f>C36-SUM(B39:B45)</f>
        <v>30838.880000000001</v>
      </c>
      <c r="E42" s="119"/>
      <c r="F42" s="119"/>
      <c r="G42" s="119"/>
      <c r="H42" s="119"/>
      <c r="I42" s="119"/>
      <c r="J42" s="119"/>
      <c r="K42" s="119"/>
      <c r="L42" s="119"/>
      <c r="M42" s="119"/>
      <c r="N42" s="119"/>
      <c r="O42" s="119"/>
      <c r="P42" s="119"/>
      <c r="Q42" s="119"/>
    </row>
    <row r="43" spans="1:17" ht="16.5" thickTop="1">
      <c r="A43" s="82"/>
      <c r="B43" s="169"/>
      <c r="C43" s="170"/>
      <c r="E43" s="119"/>
      <c r="F43" s="119"/>
      <c r="G43" s="119"/>
      <c r="H43" s="119"/>
      <c r="I43" s="119"/>
      <c r="J43" s="119"/>
      <c r="K43" s="119"/>
      <c r="L43" s="119"/>
      <c r="M43" s="119"/>
      <c r="N43" s="119"/>
      <c r="O43" s="119"/>
      <c r="P43" s="119"/>
      <c r="Q43" s="119"/>
    </row>
    <row r="44" spans="1:17" ht="15.75">
      <c r="A44" s="82"/>
      <c r="B44" s="169"/>
      <c r="C44" s="150"/>
      <c r="E44" s="119"/>
      <c r="F44" s="119"/>
      <c r="G44" s="119"/>
      <c r="H44" s="119"/>
      <c r="I44" s="119"/>
      <c r="J44" s="119"/>
      <c r="K44" s="119"/>
      <c r="L44" s="119"/>
      <c r="M44" s="119"/>
      <c r="N44" s="119"/>
      <c r="O44" s="119"/>
      <c r="P44" s="119"/>
      <c r="Q44" s="119"/>
    </row>
    <row r="45" spans="1:17" ht="15.75">
      <c r="A45" s="82"/>
      <c r="B45" s="169"/>
      <c r="C45" s="162"/>
      <c r="E45" s="119"/>
      <c r="F45" s="119"/>
      <c r="G45" s="119"/>
      <c r="H45" s="119"/>
      <c r="I45" s="119"/>
      <c r="J45" s="119"/>
      <c r="K45" s="119"/>
      <c r="L45" s="119"/>
      <c r="M45" s="119"/>
      <c r="N45" s="119"/>
      <c r="O45" s="119"/>
      <c r="P45" s="119"/>
      <c r="Q45" s="119"/>
    </row>
    <row r="46" spans="1:17" ht="15.75">
      <c r="A46" s="82"/>
      <c r="B46" s="169"/>
      <c r="C46" s="162"/>
      <c r="E46" s="119"/>
      <c r="F46" s="119"/>
      <c r="G46" s="119"/>
      <c r="H46" s="119"/>
      <c r="I46" s="119"/>
      <c r="J46" s="119"/>
      <c r="K46" s="119"/>
      <c r="L46" s="119"/>
      <c r="M46" s="119"/>
      <c r="N46" s="119"/>
      <c r="O46" s="119"/>
      <c r="P46" s="119"/>
      <c r="Q46" s="119"/>
    </row>
    <row r="47" spans="1:17" ht="15.75">
      <c r="A47" s="82"/>
      <c r="B47" s="169"/>
      <c r="C47" s="162"/>
      <c r="E47" s="153"/>
      <c r="F47" s="119"/>
      <c r="G47" s="119"/>
      <c r="H47" s="119"/>
      <c r="I47" s="119"/>
      <c r="J47" s="119"/>
      <c r="K47" s="119"/>
      <c r="L47" s="119"/>
      <c r="M47" s="119"/>
      <c r="N47" s="119"/>
      <c r="O47" s="119"/>
      <c r="P47" s="119"/>
      <c r="Q47" s="119"/>
    </row>
    <row r="48" spans="1:17" ht="15.75">
      <c r="A48" s="82"/>
      <c r="B48" s="169"/>
      <c r="C48" s="202"/>
      <c r="E48" s="119"/>
      <c r="F48" s="119"/>
      <c r="G48" s="119"/>
      <c r="H48" s="119"/>
      <c r="I48" s="119"/>
      <c r="J48" s="119"/>
      <c r="K48" s="119"/>
      <c r="L48" s="119"/>
      <c r="M48" s="119"/>
      <c r="N48" s="119"/>
      <c r="O48" s="119"/>
      <c r="P48" s="119"/>
      <c r="Q48" s="119"/>
    </row>
    <row r="49" spans="1:17" ht="15.75">
      <c r="A49" s="82"/>
      <c r="B49" s="169"/>
      <c r="C49" s="202"/>
      <c r="E49" s="154"/>
      <c r="F49" s="119"/>
      <c r="G49" s="119"/>
      <c r="H49" s="119"/>
      <c r="I49" s="119"/>
      <c r="J49" s="119"/>
      <c r="K49" s="119"/>
      <c r="L49" s="119"/>
      <c r="M49" s="119"/>
      <c r="N49" s="119"/>
      <c r="O49" s="119"/>
      <c r="P49" s="119"/>
      <c r="Q49" s="119"/>
    </row>
    <row r="50" spans="1:17" ht="15.75">
      <c r="A50" s="82"/>
      <c r="B50" s="169"/>
      <c r="C50" s="202"/>
      <c r="E50" s="119"/>
      <c r="F50" s="119"/>
      <c r="G50" s="119"/>
      <c r="H50" s="119"/>
      <c r="I50" s="119"/>
      <c r="J50" s="119"/>
      <c r="K50" s="119"/>
      <c r="L50" s="119"/>
      <c r="M50" s="119"/>
      <c r="N50" s="119"/>
      <c r="O50" s="119"/>
      <c r="P50" s="119"/>
      <c r="Q50" s="119"/>
    </row>
    <row r="51" spans="1:17">
      <c r="B51" s="170"/>
      <c r="C51" s="170"/>
      <c r="E51" s="119"/>
      <c r="F51" s="119"/>
      <c r="G51" s="119"/>
      <c r="H51" s="119"/>
      <c r="I51" s="119"/>
      <c r="J51" s="119"/>
      <c r="K51" s="119"/>
      <c r="L51" s="119"/>
      <c r="M51" s="119"/>
      <c r="N51" s="119"/>
      <c r="O51" s="119"/>
      <c r="P51" s="119"/>
      <c r="Q51" s="119"/>
    </row>
    <row r="52" spans="1:17">
      <c r="B52" s="170"/>
      <c r="C52" s="170"/>
      <c r="E52" s="119"/>
      <c r="F52" s="119"/>
      <c r="G52" s="119"/>
      <c r="H52" s="119"/>
      <c r="I52" s="119"/>
      <c r="J52" s="119"/>
      <c r="K52" s="119"/>
      <c r="L52" s="119"/>
      <c r="M52" s="119"/>
      <c r="N52" s="119"/>
      <c r="O52" s="119"/>
      <c r="P52" s="119"/>
      <c r="Q52" s="119"/>
    </row>
    <row r="53" spans="1:17">
      <c r="B53" s="170"/>
      <c r="C53" s="170"/>
      <c r="E53" s="119"/>
      <c r="F53" s="119"/>
      <c r="G53" s="119"/>
      <c r="H53" s="119"/>
      <c r="I53" s="119"/>
      <c r="J53" s="119"/>
      <c r="K53" s="119"/>
      <c r="L53" s="119"/>
      <c r="M53" s="119"/>
      <c r="N53" s="119"/>
      <c r="O53" s="119"/>
      <c r="P53" s="119"/>
      <c r="Q53" s="119"/>
    </row>
    <row r="54" spans="1:17">
      <c r="B54" s="170"/>
      <c r="C54" s="170"/>
      <c r="E54" s="119"/>
      <c r="F54" s="119"/>
      <c r="G54" s="119"/>
      <c r="H54" s="119"/>
      <c r="I54" s="119"/>
      <c r="J54" s="119"/>
      <c r="K54" s="119"/>
      <c r="L54" s="119"/>
      <c r="M54" s="119"/>
      <c r="N54" s="119"/>
      <c r="O54" s="119"/>
      <c r="P54" s="119"/>
      <c r="Q54" s="119"/>
    </row>
    <row r="55" spans="1:17">
      <c r="B55" s="170"/>
      <c r="C55" s="170"/>
      <c r="E55" s="119"/>
      <c r="F55" s="119"/>
      <c r="G55" s="119"/>
      <c r="H55" s="119"/>
      <c r="I55" s="119"/>
      <c r="J55" s="119"/>
      <c r="K55" s="119"/>
      <c r="L55" s="119"/>
      <c r="M55" s="119"/>
      <c r="N55" s="119"/>
      <c r="O55" s="119"/>
      <c r="P55" s="119"/>
      <c r="Q55" s="119"/>
    </row>
    <row r="56" spans="1:17">
      <c r="B56" s="170"/>
      <c r="C56" s="170"/>
      <c r="E56" s="119"/>
      <c r="F56" s="119"/>
      <c r="G56" s="119"/>
      <c r="H56" s="119"/>
      <c r="I56" s="119"/>
      <c r="J56" s="119"/>
      <c r="K56" s="119"/>
      <c r="L56" s="119"/>
      <c r="M56" s="119"/>
      <c r="N56" s="119"/>
      <c r="O56" s="119"/>
      <c r="P56" s="119"/>
      <c r="Q56" s="119"/>
    </row>
    <row r="57" spans="1:17">
      <c r="B57" s="170"/>
      <c r="C57" s="170"/>
      <c r="E57" s="119"/>
      <c r="F57" s="119"/>
      <c r="G57" s="119"/>
      <c r="H57" s="119"/>
      <c r="I57" s="119"/>
      <c r="J57" s="119"/>
      <c r="K57" s="119"/>
      <c r="L57" s="119"/>
      <c r="M57" s="119"/>
      <c r="N57" s="119"/>
      <c r="O57" s="119"/>
      <c r="P57" s="119"/>
      <c r="Q57" s="119"/>
    </row>
    <row r="58" spans="1:17">
      <c r="B58" s="170"/>
      <c r="C58" s="170"/>
      <c r="E58" s="119"/>
      <c r="F58" s="119"/>
      <c r="G58" s="119"/>
      <c r="H58" s="119"/>
      <c r="I58" s="119"/>
      <c r="J58" s="119"/>
      <c r="K58" s="119"/>
      <c r="L58" s="119"/>
      <c r="M58" s="119"/>
      <c r="N58" s="119"/>
      <c r="O58" s="119"/>
      <c r="P58" s="119"/>
      <c r="Q58" s="119"/>
    </row>
    <row r="59" spans="1:17">
      <c r="B59" s="170"/>
      <c r="C59" s="170"/>
      <c r="E59" s="119"/>
      <c r="F59" s="119"/>
      <c r="G59" s="119"/>
      <c r="H59" s="119"/>
      <c r="I59" s="119"/>
      <c r="J59" s="119"/>
      <c r="K59" s="119"/>
      <c r="L59" s="119"/>
      <c r="M59" s="119"/>
      <c r="N59" s="119"/>
      <c r="O59" s="119"/>
      <c r="P59" s="119"/>
      <c r="Q59" s="119"/>
    </row>
    <row r="60" spans="1:17">
      <c r="E60" s="119"/>
      <c r="F60" s="119"/>
      <c r="G60" s="119"/>
      <c r="H60" s="119"/>
      <c r="I60" s="119"/>
      <c r="J60" s="119"/>
      <c r="K60" s="119"/>
      <c r="L60" s="119"/>
      <c r="M60" s="119"/>
      <c r="N60" s="119"/>
      <c r="O60" s="119"/>
      <c r="P60" s="119"/>
      <c r="Q60" s="119"/>
    </row>
    <row r="61" spans="1:17">
      <c r="E61" s="119"/>
      <c r="F61" s="119"/>
      <c r="G61" s="119"/>
      <c r="H61" s="119"/>
      <c r="I61" s="119"/>
      <c r="J61" s="119"/>
      <c r="K61" s="119"/>
      <c r="L61" s="119"/>
      <c r="M61" s="119"/>
      <c r="N61" s="119"/>
      <c r="O61" s="119"/>
      <c r="P61" s="119"/>
      <c r="Q61" s="119"/>
    </row>
    <row r="62" spans="1:17">
      <c r="E62" s="119"/>
      <c r="F62" s="119"/>
      <c r="G62" s="119"/>
      <c r="H62" s="119"/>
      <c r="I62" s="119"/>
      <c r="J62" s="119"/>
      <c r="K62" s="119"/>
      <c r="L62" s="119"/>
      <c r="M62" s="119"/>
      <c r="N62" s="119"/>
      <c r="O62" s="119"/>
      <c r="P62" s="119"/>
      <c r="Q62" s="119"/>
    </row>
    <row r="63" spans="1:17">
      <c r="E63" s="119"/>
      <c r="F63" s="119"/>
      <c r="G63" s="119"/>
      <c r="H63" s="119"/>
      <c r="I63" s="119"/>
      <c r="J63" s="119"/>
      <c r="K63" s="119"/>
      <c r="L63" s="119"/>
      <c r="M63" s="119"/>
      <c r="N63" s="119"/>
      <c r="O63" s="119"/>
      <c r="P63" s="119"/>
      <c r="Q63" s="119"/>
    </row>
    <row r="64" spans="1:17">
      <c r="E64" s="119"/>
      <c r="F64" s="119"/>
      <c r="G64" s="119"/>
      <c r="H64" s="119"/>
      <c r="I64" s="119"/>
      <c r="J64" s="119"/>
      <c r="K64" s="119"/>
      <c r="L64" s="119"/>
      <c r="M64" s="119"/>
      <c r="N64" s="119"/>
      <c r="O64" s="119"/>
      <c r="P64" s="119"/>
      <c r="Q64" s="119"/>
    </row>
    <row r="65" spans="5:17">
      <c r="E65" s="119"/>
      <c r="F65" s="119"/>
      <c r="G65" s="119"/>
      <c r="H65" s="119"/>
      <c r="I65" s="119"/>
      <c r="J65" s="119"/>
      <c r="K65" s="119"/>
      <c r="L65" s="119"/>
      <c r="M65" s="119"/>
      <c r="N65" s="119"/>
      <c r="O65" s="119"/>
      <c r="P65" s="119"/>
      <c r="Q65" s="119"/>
    </row>
    <row r="66" spans="5:17">
      <c r="E66" s="119"/>
      <c r="F66" s="119"/>
      <c r="G66" s="119"/>
      <c r="H66" s="119"/>
      <c r="I66" s="119"/>
      <c r="J66" s="119"/>
      <c r="K66" s="119"/>
      <c r="L66" s="119"/>
      <c r="M66" s="119"/>
      <c r="N66" s="119"/>
      <c r="O66" s="119"/>
      <c r="P66" s="119"/>
      <c r="Q66" s="119"/>
    </row>
    <row r="67" spans="5:17">
      <c r="E67" s="119"/>
      <c r="F67" s="119"/>
      <c r="G67" s="119"/>
      <c r="H67" s="119"/>
      <c r="I67" s="119"/>
      <c r="J67" s="119"/>
      <c r="K67" s="119"/>
      <c r="L67" s="119"/>
      <c r="M67" s="119"/>
      <c r="N67" s="119"/>
      <c r="O67" s="119"/>
      <c r="P67" s="119"/>
      <c r="Q67" s="119"/>
    </row>
    <row r="68" spans="5:17">
      <c r="E68" s="119"/>
      <c r="F68" s="119"/>
      <c r="G68" s="119"/>
      <c r="H68" s="119"/>
      <c r="I68" s="119"/>
      <c r="J68" s="119"/>
      <c r="K68" s="119"/>
      <c r="L68" s="119"/>
      <c r="M68" s="119"/>
      <c r="N68" s="119"/>
      <c r="O68" s="119"/>
      <c r="P68" s="119"/>
      <c r="Q68" s="119"/>
    </row>
    <row r="69" spans="5:17">
      <c r="E69" s="119"/>
      <c r="F69" s="119"/>
      <c r="G69" s="119"/>
      <c r="H69" s="119"/>
      <c r="I69" s="119"/>
      <c r="J69" s="119"/>
      <c r="K69" s="119"/>
      <c r="L69" s="119"/>
      <c r="M69" s="119"/>
      <c r="N69" s="119"/>
      <c r="O69" s="119"/>
      <c r="P69" s="119"/>
      <c r="Q69" s="119"/>
    </row>
    <row r="70" spans="5:17">
      <c r="E70" s="119"/>
      <c r="F70" s="119"/>
      <c r="G70" s="119"/>
      <c r="H70" s="119"/>
      <c r="I70" s="119"/>
      <c r="J70" s="119"/>
      <c r="K70" s="119"/>
      <c r="L70" s="119"/>
      <c r="M70" s="119"/>
      <c r="N70" s="119"/>
      <c r="O70" s="119"/>
      <c r="P70" s="119"/>
      <c r="Q70" s="119"/>
    </row>
    <row r="71" spans="5:17">
      <c r="E71" s="119"/>
      <c r="F71" s="119"/>
      <c r="G71" s="119"/>
      <c r="H71" s="119"/>
      <c r="I71" s="119"/>
      <c r="J71" s="119"/>
      <c r="K71" s="119"/>
      <c r="L71" s="119"/>
      <c r="M71" s="119"/>
      <c r="N71" s="119"/>
      <c r="O71" s="119"/>
      <c r="P71" s="119"/>
      <c r="Q71" s="119"/>
    </row>
    <row r="72" spans="5:17">
      <c r="E72" s="119"/>
      <c r="F72" s="119"/>
      <c r="G72" s="119"/>
      <c r="H72" s="119"/>
      <c r="I72" s="119"/>
      <c r="J72" s="119"/>
      <c r="K72" s="119"/>
      <c r="L72" s="119"/>
      <c r="M72" s="119"/>
      <c r="N72" s="119"/>
      <c r="O72" s="119"/>
      <c r="P72" s="119"/>
      <c r="Q72" s="119"/>
    </row>
    <row r="73" spans="5:17">
      <c r="E73" s="119"/>
      <c r="F73" s="119"/>
      <c r="G73" s="119"/>
      <c r="H73" s="119"/>
      <c r="I73" s="119"/>
      <c r="J73" s="119"/>
      <c r="K73" s="119"/>
      <c r="L73" s="119"/>
      <c r="M73" s="119"/>
      <c r="N73" s="119"/>
      <c r="O73" s="119"/>
      <c r="P73" s="119"/>
      <c r="Q73" s="119"/>
    </row>
    <row r="74" spans="5:17">
      <c r="E74" s="119"/>
      <c r="F74" s="119"/>
      <c r="G74" s="119"/>
      <c r="H74" s="119"/>
      <c r="I74" s="119"/>
      <c r="J74" s="119"/>
      <c r="K74" s="119"/>
      <c r="L74" s="119"/>
      <c r="M74" s="119"/>
      <c r="N74" s="119"/>
      <c r="O74" s="119"/>
      <c r="P74" s="119"/>
      <c r="Q74" s="119"/>
    </row>
    <row r="75" spans="5:17">
      <c r="E75" s="119"/>
      <c r="F75" s="119"/>
      <c r="G75" s="119"/>
      <c r="H75" s="119"/>
      <c r="I75" s="119"/>
      <c r="J75" s="119"/>
      <c r="K75" s="119"/>
      <c r="L75" s="119"/>
      <c r="M75" s="119"/>
      <c r="N75" s="119"/>
      <c r="O75" s="119"/>
      <c r="P75" s="119"/>
      <c r="Q75" s="119"/>
    </row>
    <row r="76" spans="5:17">
      <c r="E76" s="119"/>
      <c r="F76" s="119"/>
      <c r="G76" s="119"/>
      <c r="H76" s="119"/>
      <c r="I76" s="119"/>
      <c r="J76" s="119"/>
      <c r="K76" s="119"/>
      <c r="L76" s="119"/>
      <c r="M76" s="119"/>
      <c r="N76" s="119"/>
      <c r="O76" s="119"/>
      <c r="P76" s="119"/>
      <c r="Q76" s="119"/>
    </row>
  </sheetData>
  <mergeCells count="3">
    <mergeCell ref="A1:C1"/>
    <mergeCell ref="A2:C2"/>
    <mergeCell ref="A3:C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sheetPr>
    <pageSetUpPr fitToPage="1"/>
  </sheetPr>
  <dimension ref="A1:I57"/>
  <sheetViews>
    <sheetView workbookViewId="0">
      <selection sqref="A1:C43"/>
    </sheetView>
  </sheetViews>
  <sheetFormatPr defaultRowHeight="15"/>
  <cols>
    <col min="1" max="1" width="59" bestFit="1" customWidth="1"/>
    <col min="2" max="2" width="12.85546875" bestFit="1" customWidth="1"/>
    <col min="3" max="3" width="12.7109375" bestFit="1" customWidth="1"/>
  </cols>
  <sheetData>
    <row r="1" spans="1:3" ht="18.75">
      <c r="A1" s="278" t="s">
        <v>115</v>
      </c>
      <c r="B1" s="278"/>
      <c r="C1" s="278"/>
    </row>
    <row r="2" spans="1:3" ht="18.75">
      <c r="A2" s="278" t="s">
        <v>84</v>
      </c>
      <c r="B2" s="278"/>
      <c r="C2" s="278"/>
    </row>
    <row r="3" spans="1:3" ht="18.75">
      <c r="A3" s="278" t="s">
        <v>305</v>
      </c>
      <c r="B3" s="278"/>
      <c r="C3" s="278"/>
    </row>
    <row r="4" spans="1:3" ht="15.75">
      <c r="A4" s="75"/>
      <c r="B4" s="74"/>
      <c r="C4" s="74"/>
    </row>
    <row r="5" spans="1:3" ht="18.75">
      <c r="A5" s="76" t="s">
        <v>85</v>
      </c>
      <c r="B5" s="74"/>
      <c r="C5" s="74"/>
    </row>
    <row r="6" spans="1:3" ht="15.75">
      <c r="A6" s="75"/>
      <c r="B6" s="74"/>
      <c r="C6" s="74"/>
    </row>
    <row r="7" spans="1:3" ht="15.75">
      <c r="A7" s="77" t="s">
        <v>86</v>
      </c>
      <c r="B7" s="75"/>
      <c r="C7" s="75"/>
    </row>
    <row r="8" spans="1:3" ht="15.75">
      <c r="A8" s="75" t="s">
        <v>119</v>
      </c>
      <c r="B8" s="150">
        <v>12553</v>
      </c>
      <c r="C8" s="150"/>
    </row>
    <row r="9" spans="1:3" ht="15.75">
      <c r="A9" s="75" t="s">
        <v>136</v>
      </c>
      <c r="B9" s="150">
        <v>1906.8</v>
      </c>
      <c r="C9" s="150"/>
    </row>
    <row r="10" spans="1:3" ht="15.75">
      <c r="A10" s="75" t="s">
        <v>166</v>
      </c>
      <c r="B10" s="150">
        <v>2578.04</v>
      </c>
      <c r="C10" s="150"/>
    </row>
    <row r="11" spans="1:3" ht="15.75">
      <c r="A11" s="75" t="s">
        <v>5</v>
      </c>
      <c r="B11" s="150">
        <v>0.21</v>
      </c>
      <c r="C11" s="150"/>
    </row>
    <row r="12" spans="1:3" ht="15.75">
      <c r="A12" s="79"/>
      <c r="B12" s="161">
        <f>SUM(B8:B11)</f>
        <v>17038.05</v>
      </c>
      <c r="C12" s="150"/>
    </row>
    <row r="13" spans="1:3" ht="15.75">
      <c r="A13" s="79"/>
      <c r="B13" s="162"/>
      <c r="C13" s="150"/>
    </row>
    <row r="14" spans="1:3" ht="15.75">
      <c r="A14" s="77" t="s">
        <v>87</v>
      </c>
      <c r="B14" s="150"/>
      <c r="C14" s="150"/>
    </row>
    <row r="15" spans="1:3" ht="15.75">
      <c r="A15" s="75" t="s">
        <v>88</v>
      </c>
      <c r="B15" s="155">
        <v>45</v>
      </c>
      <c r="C15" s="150"/>
    </row>
    <row r="16" spans="1:3" ht="15.75">
      <c r="A16" s="75" t="s">
        <v>117</v>
      </c>
      <c r="B16" s="155">
        <f>148.72*3</f>
        <v>446.15999999999997</v>
      </c>
      <c r="C16" s="150"/>
    </row>
    <row r="17" spans="1:3" ht="15.75">
      <c r="A17" s="75" t="s">
        <v>89</v>
      </c>
      <c r="B17" s="155">
        <f>295.68+310.88+295.68</f>
        <v>902.24</v>
      </c>
      <c r="C17" s="150"/>
    </row>
    <row r="18" spans="1:3" ht="15.75">
      <c r="A18" s="75" t="s">
        <v>256</v>
      </c>
      <c r="B18" s="155">
        <v>28.78</v>
      </c>
      <c r="C18" s="150"/>
    </row>
    <row r="19" spans="1:3" ht="15.75">
      <c r="A19" s="75" t="s">
        <v>9</v>
      </c>
      <c r="B19" s="155">
        <v>639.86</v>
      </c>
      <c r="C19" s="150"/>
    </row>
    <row r="20" spans="1:3" ht="15.75">
      <c r="A20" s="75" t="s">
        <v>196</v>
      </c>
      <c r="B20" s="155">
        <v>1144.08</v>
      </c>
      <c r="C20" s="150"/>
    </row>
    <row r="21" spans="1:3" ht="15.75">
      <c r="A21" s="75" t="s">
        <v>6</v>
      </c>
      <c r="B21" s="155">
        <v>60</v>
      </c>
      <c r="C21" s="150"/>
    </row>
    <row r="22" spans="1:3" ht="15.75">
      <c r="A22" s="75" t="s">
        <v>122</v>
      </c>
      <c r="B22" s="155">
        <v>4345.2</v>
      </c>
      <c r="C22" s="150"/>
    </row>
    <row r="23" spans="1:3" ht="15.75">
      <c r="A23" s="82" t="s">
        <v>7</v>
      </c>
      <c r="B23" s="156">
        <v>545.57000000000005</v>
      </c>
      <c r="C23" s="150"/>
    </row>
    <row r="24" spans="1:3" ht="15.75">
      <c r="A24" s="82" t="s">
        <v>4</v>
      </c>
      <c r="B24" s="156">
        <f>74+73.8+74</f>
        <v>221.8</v>
      </c>
      <c r="C24" s="150"/>
    </row>
    <row r="25" spans="1:3" ht="15.75">
      <c r="A25" s="82"/>
      <c r="B25" s="151">
        <f>SUM(B15:B24)</f>
        <v>8378.6899999999987</v>
      </c>
      <c r="C25" s="163"/>
    </row>
    <row r="26" spans="1:3">
      <c r="A26" s="84"/>
      <c r="B26" s="163"/>
      <c r="C26" s="163"/>
    </row>
    <row r="27" spans="1:3" ht="15.75">
      <c r="A27" s="77" t="s">
        <v>90</v>
      </c>
      <c r="B27" s="150"/>
      <c r="C27" s="150"/>
    </row>
    <row r="28" spans="1:3" ht="15.75">
      <c r="A28" s="75" t="s">
        <v>258</v>
      </c>
      <c r="B28" s="150">
        <v>23552.92</v>
      </c>
      <c r="C28" s="162"/>
    </row>
    <row r="29" spans="1:3" ht="15.75">
      <c r="A29" s="75" t="s">
        <v>306</v>
      </c>
      <c r="B29" s="150">
        <f>B12-B25</f>
        <v>8659.36</v>
      </c>
      <c r="C29" s="150"/>
    </row>
    <row r="30" spans="1:3" ht="16.5" thickBot="1">
      <c r="A30" s="77" t="s">
        <v>16</v>
      </c>
      <c r="B30" s="164"/>
      <c r="C30" s="165">
        <f>SUM(B28:B29)</f>
        <v>32212.28</v>
      </c>
    </row>
    <row r="31" spans="1:3" ht="16.5" thickTop="1">
      <c r="A31" s="77"/>
      <c r="B31" s="150"/>
      <c r="C31" s="150"/>
    </row>
    <row r="32" spans="1:3" ht="15.75">
      <c r="A32" s="77" t="s">
        <v>91</v>
      </c>
      <c r="B32" s="150"/>
      <c r="C32" s="150"/>
    </row>
    <row r="33" spans="1:9" ht="15.75">
      <c r="A33" s="77"/>
      <c r="B33" s="150"/>
      <c r="C33" s="150"/>
    </row>
    <row r="34" spans="1:9" ht="15.75">
      <c r="A34" s="75" t="s">
        <v>92</v>
      </c>
      <c r="B34" s="166">
        <f>32186.22+26.06</f>
        <v>32212.280000000002</v>
      </c>
      <c r="C34" s="150"/>
    </row>
    <row r="35" spans="1:9" ht="15.75">
      <c r="A35" s="75"/>
      <c r="B35" s="162"/>
      <c r="C35" s="150"/>
    </row>
    <row r="36" spans="1:9" ht="16.5" thickBot="1">
      <c r="A36" s="90"/>
      <c r="B36" s="167"/>
      <c r="C36" s="168">
        <f>SUM(B34:B35)</f>
        <v>32212.280000000002</v>
      </c>
    </row>
    <row r="37" spans="1:9" ht="15.75">
      <c r="A37" s="75"/>
      <c r="B37" s="150"/>
      <c r="C37" s="150"/>
    </row>
    <row r="38" spans="1:9" ht="15.75">
      <c r="A38" s="77" t="s">
        <v>93</v>
      </c>
      <c r="B38" s="150"/>
      <c r="C38" s="150"/>
    </row>
    <row r="39" spans="1:9" ht="15.75">
      <c r="A39" s="82"/>
      <c r="B39" s="169"/>
      <c r="C39" s="150"/>
    </row>
    <row r="40" spans="1:9" ht="15.75">
      <c r="A40" s="82"/>
      <c r="B40" s="169"/>
      <c r="C40" s="150"/>
    </row>
    <row r="41" spans="1:9" ht="15.75">
      <c r="A41" s="82"/>
      <c r="B41" s="169"/>
      <c r="C41" s="150"/>
    </row>
    <row r="42" spans="1:9" ht="16.5" thickBot="1">
      <c r="A42" s="82"/>
      <c r="B42" s="169"/>
      <c r="C42" s="165">
        <f>C36-SUM(B39:B45)</f>
        <v>32212.280000000002</v>
      </c>
    </row>
    <row r="43" spans="1:9" ht="16.5" thickTop="1">
      <c r="A43" s="82"/>
      <c r="B43" s="169"/>
      <c r="C43" s="170"/>
    </row>
    <row r="44" spans="1:9" ht="15.75">
      <c r="A44" s="82"/>
      <c r="B44" s="169"/>
      <c r="C44" s="170"/>
    </row>
    <row r="45" spans="1:9" ht="15.75">
      <c r="A45" s="82"/>
      <c r="B45" s="169"/>
      <c r="C45" s="170"/>
    </row>
    <row r="46" spans="1:9" ht="15.75">
      <c r="A46" s="82"/>
      <c r="B46" s="169"/>
      <c r="C46" s="150"/>
    </row>
    <row r="47" spans="1:9" ht="15.75">
      <c r="A47" s="82"/>
      <c r="B47" s="169"/>
      <c r="C47" s="150"/>
      <c r="E47" s="99"/>
      <c r="I47" s="99"/>
    </row>
    <row r="48" spans="1:9" ht="15.75">
      <c r="A48" s="82"/>
      <c r="B48" s="169"/>
      <c r="C48" s="162"/>
      <c r="E48" s="98"/>
    </row>
    <row r="49" spans="1:5" ht="15.75">
      <c r="A49" s="82"/>
      <c r="B49" s="83"/>
    </row>
    <row r="50" spans="1:5" ht="15.75">
      <c r="A50" s="97"/>
      <c r="B50" s="97"/>
      <c r="C50" s="157"/>
      <c r="D50" s="97"/>
      <c r="E50" s="158"/>
    </row>
    <row r="51" spans="1:5" ht="15.75">
      <c r="A51" s="97"/>
      <c r="B51" s="97"/>
      <c r="C51" s="157"/>
      <c r="D51" s="97"/>
      <c r="E51" s="159"/>
    </row>
    <row r="52" spans="1:5" ht="15.75">
      <c r="A52" s="97"/>
      <c r="B52" s="97"/>
      <c r="C52" s="157"/>
      <c r="D52" s="97"/>
      <c r="E52" s="97"/>
    </row>
    <row r="53" spans="1:5" ht="15.75">
      <c r="A53" s="82"/>
      <c r="B53" s="83"/>
      <c r="C53" s="89"/>
      <c r="D53" s="97"/>
      <c r="E53" s="97"/>
    </row>
    <row r="54" spans="1:5" ht="15.75">
      <c r="A54" s="82"/>
      <c r="B54" s="83"/>
      <c r="C54" s="97"/>
      <c r="D54" s="97"/>
      <c r="E54" s="97"/>
    </row>
    <row r="55" spans="1:5" ht="15.75">
      <c r="A55" s="82"/>
      <c r="B55" s="83"/>
    </row>
    <row r="56" spans="1:5" ht="15.75">
      <c r="A56" s="82"/>
      <c r="B56" s="83"/>
    </row>
    <row r="57" spans="1:5" ht="15.75">
      <c r="A57" s="82"/>
      <c r="B57" s="83"/>
    </row>
  </sheetData>
  <mergeCells count="3">
    <mergeCell ref="A1:C1"/>
    <mergeCell ref="A2:C2"/>
    <mergeCell ref="A3:C3"/>
  </mergeCell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28</vt:i4>
      </vt:variant>
    </vt:vector>
  </HeadingPairs>
  <TitlesOfParts>
    <vt:vector size="61" baseType="lpstr">
      <vt:lpstr>Current Account</vt:lpstr>
      <vt:lpstr>Bank Reconciliation</vt:lpstr>
      <vt:lpstr>Variances</vt:lpstr>
      <vt:lpstr>List of Payments</vt:lpstr>
      <vt:lpstr>VAT Reclaim</vt:lpstr>
      <vt:lpstr>Budget 2020-21</vt:lpstr>
      <vt:lpstr>Financial Statement April 2023</vt:lpstr>
      <vt:lpstr>Financial Statement May 2023</vt:lpstr>
      <vt:lpstr>Financial Statement June 2023</vt:lpstr>
      <vt:lpstr>Financial Statement August 2023</vt:lpstr>
      <vt:lpstr>Financial Statement Sept 2023</vt:lpstr>
      <vt:lpstr>Budget over Expenditure 23-24</vt:lpstr>
      <vt:lpstr>Budget 2022-23</vt:lpstr>
      <vt:lpstr>Financial Statement Oct 2020</vt:lpstr>
      <vt:lpstr>Financial Statement Dec 2020</vt:lpstr>
      <vt:lpstr>Sheet2</vt:lpstr>
      <vt:lpstr>Sheet1</vt:lpstr>
      <vt:lpstr>Sheet3</vt:lpstr>
      <vt:lpstr>Sheet4</vt:lpstr>
      <vt:lpstr>Sheet5</vt:lpstr>
      <vt:lpstr>Sheet6</vt:lpstr>
      <vt:lpstr>Budget 2425</vt:lpstr>
      <vt:lpstr>Sheet7</vt:lpstr>
      <vt:lpstr>Sheet8</vt:lpstr>
      <vt:lpstr>Sheet9</vt:lpstr>
      <vt:lpstr>Sheet10</vt:lpstr>
      <vt:lpstr>Sheet11</vt:lpstr>
      <vt:lpstr>Sheet12</vt:lpstr>
      <vt:lpstr>Sheet13</vt:lpstr>
      <vt:lpstr>Sheet14</vt:lpstr>
      <vt:lpstr>Sheet15</vt:lpstr>
      <vt:lpstr>Sheet16</vt:lpstr>
      <vt:lpstr>Sheet17</vt:lpstr>
      <vt:lpstr>'Bank Reconciliation'!Print_Area</vt:lpstr>
      <vt:lpstr>'Budget 2022-23'!Print_Area</vt:lpstr>
      <vt:lpstr>'Budget 2425'!Print_Area</vt:lpstr>
      <vt:lpstr>'Budget over Expenditure 23-24'!Print_Area</vt:lpstr>
      <vt:lpstr>'Current Account'!Print_Area</vt:lpstr>
      <vt:lpstr>'Financial Statement April 2023'!Print_Area</vt:lpstr>
      <vt:lpstr>'Financial Statement August 2023'!Print_Area</vt:lpstr>
      <vt:lpstr>'Financial Statement Dec 2020'!Print_Area</vt:lpstr>
      <vt:lpstr>'Financial Statement June 2023'!Print_Area</vt:lpstr>
      <vt:lpstr>'Financial Statement May 2023'!Print_Area</vt:lpstr>
      <vt:lpstr>'Financial Statement Oct 2020'!Print_Area</vt:lpstr>
      <vt:lpstr>'Financial Statement Sept 2023'!Print_Area</vt:lpstr>
      <vt:lpstr>'List of Payments'!Print_Area</vt:lpstr>
      <vt:lpstr>Sheet1!Print_Area</vt:lpstr>
      <vt:lpstr>Sheet10!Print_Area</vt:lpstr>
      <vt:lpstr>Sheet11!Print_Area</vt:lpstr>
      <vt:lpstr>Sheet12!Print_Area</vt:lpstr>
      <vt:lpstr>Sheet13!Print_Area</vt:lpstr>
      <vt:lpstr>Sheet14!Print_Area</vt:lpstr>
      <vt:lpstr>Sheet15!Print_Area</vt:lpstr>
      <vt:lpstr>Sheet16!Print_Area</vt:lpstr>
      <vt:lpstr>Sheet17!Print_Area</vt:lpstr>
      <vt:lpstr>Sheet2!Print_Area</vt:lpstr>
      <vt:lpstr>Sheet3!Print_Area</vt:lpstr>
      <vt:lpstr>Sheet7!Print_Area</vt:lpstr>
      <vt:lpstr>Sheet8!Print_Area</vt:lpstr>
      <vt:lpstr>Variances!Print_Area</vt:lpstr>
      <vt:lpstr>'VAT Reclaim'!Print_Area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Tracey Block</dc:creator>
  <cp:lastModifiedBy>Tracey Block</cp:lastModifiedBy>
  <cp:lastPrinted>2025-04-28T14:45:18Z</cp:lastPrinted>
  <dcterms:created xsi:type="dcterms:W3CDTF">2020-04-07T15:34:06Z</dcterms:created>
  <dcterms:modified xsi:type="dcterms:W3CDTF">2025-04-28T15:19:09Z</dcterms:modified>
</cp:coreProperties>
</file>